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defaultThemeVersion="166925"/>
  <mc:AlternateContent xmlns:mc="http://schemas.openxmlformats.org/markup-compatibility/2006">
    <mc:Choice Requires="x15">
      <x15ac:absPath xmlns:x15ac="http://schemas.microsoft.com/office/spreadsheetml/2010/11/ac" url="https://erikshjalpen-my.sharepoint.com/personal/rasmey_keo_eriksdevelopment_org/Documents/CCC/CCC/2025/TAX/"/>
    </mc:Choice>
  </mc:AlternateContent>
  <xr:revisionPtr revIDLastSave="0" documentId="8_{960F80A3-33CD-4B22-A0A6-ECA146F697F0}" xr6:coauthVersionLast="47" xr6:coauthVersionMax="47" xr10:uidLastSave="{00000000-0000-0000-0000-000000000000}"/>
  <bookViews>
    <workbookView xWindow="-120" yWindow="-120" windowWidth="20730" windowHeight="11160" firstSheet="3" activeTab="6" xr2:uid="{00000000-000D-0000-FFFF-FFFF00000000}"/>
  </bookViews>
  <sheets>
    <sheet name="Trial Balance" sheetId="1" state="hidden" r:id="rId1"/>
    <sheet name="MRO P&amp;L 2022" sheetId="8" state="hidden" r:id="rId2"/>
    <sheet name="Profit and Loss 2023" sheetId="12" state="hidden" r:id="rId3"/>
    <sheet name="P&amp;L" sheetId="14" r:id="rId4"/>
    <sheet name="BS" sheetId="15" r:id="rId5"/>
    <sheet name=" TB" sheetId="16" r:id="rId6"/>
    <sheet name="Chart of Account (Tax Dpt)" sheetId="10" r:id="rId7"/>
    <sheet name="Sheet1" sheetId="5" state="hidden" r:id="rId8"/>
  </sheets>
  <externalReferences>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s>
  <definedNames>
    <definedName name="\A" localSheetId="6">#REF!</definedName>
    <definedName name="\A">#REF!</definedName>
    <definedName name="\P" localSheetId="6">#REF!</definedName>
    <definedName name="\P">#REF!</definedName>
    <definedName name="____W.O.R.K.B.O.O.K..C.O.N.T.E.N.T.S____" localSheetId="6">#REF!</definedName>
    <definedName name="____W.O.R.K.B.O.O.K..C.O.N.T.E.N.T.S____">#REF!</definedName>
    <definedName name="__123Graph_B" localSheetId="6" hidden="1">[1]Operating!#REF!</definedName>
    <definedName name="__123Graph_B" hidden="1">[1]Operating!#REF!</definedName>
    <definedName name="__123Graph_C" localSheetId="6" hidden="1">'[2]BS (ToP)'!#REF!</definedName>
    <definedName name="__123Graph_C" hidden="1">'[2]BS (ToP)'!#REF!</definedName>
    <definedName name="__123Graph_D" localSheetId="6" hidden="1">'[2]BS (ToP)'!#REF!</definedName>
    <definedName name="__123Graph_D" hidden="1">'[2]BS (ToP)'!#REF!</definedName>
    <definedName name="__123Graph_E" localSheetId="6" hidden="1">'[2]BS (ToP)'!#REF!</definedName>
    <definedName name="__123Graph_E" hidden="1">'[2]BS (ToP)'!#REF!</definedName>
    <definedName name="__123Graph_F" localSheetId="6" hidden="1">'[2]BS (ToP)'!#REF!</definedName>
    <definedName name="__123Graph_F" hidden="1">'[2]BS (ToP)'!#REF!</definedName>
    <definedName name="_ACC0320" localSheetId="6">#REF!</definedName>
    <definedName name="_ACC0320">#REF!</definedName>
    <definedName name="_BAL0320" localSheetId="6">#REF!</definedName>
    <definedName name="_BAL0320">#REF!</definedName>
    <definedName name="_BAL0344" localSheetId="6">#REF!</definedName>
    <definedName name="_BAL0344">#REF!</definedName>
    <definedName name="_BAL0348" localSheetId="6">#REF!</definedName>
    <definedName name="_BAL0348">#REF!</definedName>
    <definedName name="_BAL0360" localSheetId="6">#REF!</definedName>
    <definedName name="_BAL0360">#REF!</definedName>
    <definedName name="_BAL0361" localSheetId="6">#REF!</definedName>
    <definedName name="_BAL0361">#REF!</definedName>
    <definedName name="_BAL0367" localSheetId="6">#REF!</definedName>
    <definedName name="_BAL0367">#REF!</definedName>
    <definedName name="_BAL0370" localSheetId="6">#REF!</definedName>
    <definedName name="_BAL0370">#REF!</definedName>
    <definedName name="_BAL0375" localSheetId="6">#REF!</definedName>
    <definedName name="_BAL0375">#REF!</definedName>
    <definedName name="_BAL0384" localSheetId="6">#REF!</definedName>
    <definedName name="_BAL0384">#REF!</definedName>
    <definedName name="_BAL0385" localSheetId="6">#REF!</definedName>
    <definedName name="_BAL0385">#REF!</definedName>
    <definedName name="_BAL0386" localSheetId="6">#REF!</definedName>
    <definedName name="_BAL0386">#REF!</definedName>
    <definedName name="_BAL0387" localSheetId="6">#REF!</definedName>
    <definedName name="_BAL0387">#REF!</definedName>
    <definedName name="_BAL0388" localSheetId="6">#REF!</definedName>
    <definedName name="_BAL0388">#REF!</definedName>
    <definedName name="_BAL0395" localSheetId="6">#REF!</definedName>
    <definedName name="_BAL0395">#REF!</definedName>
    <definedName name="_bal0397" localSheetId="6">#REF!</definedName>
    <definedName name="_bal0397">#REF!</definedName>
    <definedName name="_BAL0399" localSheetId="6">#REF!</definedName>
    <definedName name="_BAL0399">#REF!</definedName>
    <definedName name="_BAL0400" localSheetId="6">#REF!</definedName>
    <definedName name="_BAL0400">#REF!</definedName>
    <definedName name="_BAL0810" localSheetId="6">#REF!</definedName>
    <definedName name="_BAL0810">#REF!</definedName>
    <definedName name="_BAL0811" localSheetId="6">#REF!</definedName>
    <definedName name="_BAL0811">#REF!</definedName>
    <definedName name="_BAL0815" localSheetId="6">#REF!</definedName>
    <definedName name="_BAL0815">#REF!</definedName>
    <definedName name="_BAL6791" localSheetId="6">#REF!</definedName>
    <definedName name="_BAL6791">#REF!</definedName>
    <definedName name="_BLA0811" localSheetId="6">#REF!</definedName>
    <definedName name="_BLA0811">#REF!</definedName>
    <definedName name="_DAT1" localSheetId="6">#REF!</definedName>
    <definedName name="_DAT1">#REF!</definedName>
    <definedName name="_DAT10" localSheetId="6">#REF!</definedName>
    <definedName name="_DAT10">#REF!</definedName>
    <definedName name="_DAT11" localSheetId="6">#REF!</definedName>
    <definedName name="_DAT11">#REF!</definedName>
    <definedName name="_DAT12" localSheetId="6">#REF!</definedName>
    <definedName name="_DAT12">#REF!</definedName>
    <definedName name="_DAT13" localSheetId="6">#REF!</definedName>
    <definedName name="_DAT13">#REF!</definedName>
    <definedName name="_DAT2" localSheetId="6">#REF!</definedName>
    <definedName name="_DAT2">#REF!</definedName>
    <definedName name="_DAT3" localSheetId="6">#REF!</definedName>
    <definedName name="_DAT3">#REF!</definedName>
    <definedName name="_DAT4" localSheetId="6">#REF!</definedName>
    <definedName name="_DAT4">#REF!</definedName>
    <definedName name="_DAT5" localSheetId="6">#REF!</definedName>
    <definedName name="_DAT5">#REF!</definedName>
    <definedName name="_DAT6" localSheetId="6">#REF!</definedName>
    <definedName name="_DAT6">#REF!</definedName>
    <definedName name="_DAT7" localSheetId="6">#REF!</definedName>
    <definedName name="_DAT7">#REF!</definedName>
    <definedName name="_DAT8" localSheetId="6">#REF!</definedName>
    <definedName name="_DAT8">#REF!</definedName>
    <definedName name="_DAT9" localSheetId="6">#REF!</definedName>
    <definedName name="_DAT9">#REF!</definedName>
    <definedName name="_Fill" localSheetId="6" hidden="1">#REF!</definedName>
    <definedName name="_Fill" hidden="1">#REF!</definedName>
    <definedName name="_Key1" localSheetId="6" hidden="1">#REF!</definedName>
    <definedName name="_Key1" hidden="1">#REF!</definedName>
    <definedName name="_Key2" localSheetId="6" hidden="1">#REF!</definedName>
    <definedName name="_Key2" hidden="1">#REF!</definedName>
    <definedName name="_L3" hidden="1">{#N/A,#N/A,FALSE,"P&amp;LVN H2";#N/A,#N/A,FALSE,"P&amp;LVIETNAM";#N/A,#N/A,FALSE,"P&amp;LVN H1";#N/A,#N/A,FALSE,"P&amp;L summary";#N/A,#N/A,FALSE,"CB";#N/A,#N/A,FALSE,"CEO ";#N/A,#N/A,FALSE,"Treasury";#N/A,#N/A,FALSE,"IBG";#N/A,#N/A,FALSE,"FIN";#N/A,#N/A,FALSE,"INDO";#N/A,#N/A,FALSE,"BS97"}</definedName>
    <definedName name="_M002" hidden="1">{#N/A,#N/A,FALSE,"Sub-Mekong";#N/A,#N/A,FALSE,"IB";#N/A,#N/A,FALSE,"CB";#N/A,#N/A,FALSE,"CIB";#N/A,#N/A,FALSE,"Tsy - seg";#N/A,#N/A,FALSE,"Fin";#N/A,#N/A,FALSE,"CEO";#N/A,#N/A,FALSE,"VN"}</definedName>
    <definedName name="_M2" hidden="1">{#N/A,#N/A,FALSE,"P&amp;LVN H2";#N/A,#N/A,FALSE,"P&amp;LVIETNAM";#N/A,#N/A,FALSE,"P&amp;LVN H1";#N/A,#N/A,FALSE,"P&amp;L summary";#N/A,#N/A,FALSE,"CB";#N/A,#N/A,FALSE,"CEO ";#N/A,#N/A,FALSE,"Treasury";#N/A,#N/A,FALSE,"IBG";#N/A,#N/A,FALSE,"FIN";#N/A,#N/A,FALSE,"INDO";#N/A,#N/A,FALSE,"BS97"}</definedName>
    <definedName name="_M200" hidden="1">{#N/A,#N/A,FALSE,"P&amp;LVIETNAM";#N/A,#N/A,FALSE,"P&amp;L summary";#N/A,#N/A,FALSE,"Treasury";#N/A,#N/A,FALSE,"CB";#N/A,#N/A,FALSE,"CEO ";#N/A,#N/A,FALSE,"IBG";#N/A,#N/A,FALSE,"FIN";#N/A,#N/A,FALSE,"BS97"}</definedName>
    <definedName name="_npv1" localSheetId="6">#REF!</definedName>
    <definedName name="_npv1">#REF!</definedName>
    <definedName name="_npv2" localSheetId="6">#REF!</definedName>
    <definedName name="_npv2">#REF!</definedName>
    <definedName name="_Order1" hidden="1">255</definedName>
    <definedName name="_Order2" hidden="1">255</definedName>
    <definedName name="a" hidden="1">{#N/A,#N/A,FALSE,"Sub-Mekong";#N/A,#N/A,FALSE,"IB";#N/A,#N/A,FALSE,"CB";#N/A,#N/A,FALSE,"CIB";#N/A,#N/A,FALSE,"Tsy - seg";#N/A,#N/A,FALSE,"Fin";#N/A,#N/A,FALSE,"CEO";#N/A,#N/A,FALSE,"VN"}</definedName>
    <definedName name="abc" hidden="1">{#N/A,#N/A,FALSE,"Sub-Mekong";#N/A,#N/A,FALSE,"IB";#N/A,#N/A,FALSE,"CB";#N/A,#N/A,FALSE,"CIB";#N/A,#N/A,FALSE,"Tsy - seg";#N/A,#N/A,FALSE,"Fin";#N/A,#N/A,FALSE,"CEO";#N/A,#N/A,FALSE,"VN"}</definedName>
    <definedName name="advance1" localSheetId="6">#REF!</definedName>
    <definedName name="advance1">#REF!</definedName>
    <definedName name="advance2" localSheetId="6">#REF!</definedName>
    <definedName name="advance2">#REF!</definedName>
    <definedName name="advance4" localSheetId="6">#REF!</definedName>
    <definedName name="advance4">#REF!</definedName>
    <definedName name="agdump" localSheetId="6">#REF!</definedName>
    <definedName name="agdump">#REF!</definedName>
    <definedName name="agedump" localSheetId="6">#REF!</definedName>
    <definedName name="agedump">#REF!</definedName>
    <definedName name="agencydump" localSheetId="6">#REF!</definedName>
    <definedName name="agencydump">#REF!</definedName>
    <definedName name="AGENCYLY" localSheetId="6">#REF!</definedName>
    <definedName name="AGENCYLY">#REF!</definedName>
    <definedName name="AGENCYPLAN" localSheetId="6">#REF!</definedName>
    <definedName name="AGENCYPLAN">#REF!</definedName>
    <definedName name="All" localSheetId="6">#REF!</definedName>
    <definedName name="All">#REF!</definedName>
    <definedName name="amount" localSheetId="6">#REF!</definedName>
    <definedName name="amount">#REF!</definedName>
    <definedName name="AppI" localSheetId="6">#REF!</definedName>
    <definedName name="AppI">#REF!</definedName>
    <definedName name="AppII" localSheetId="6">#REF!</definedName>
    <definedName name="AppII">#REF!</definedName>
    <definedName name="AppIII" localSheetId="6">#REF!</definedName>
    <definedName name="AppIII">#REF!</definedName>
    <definedName name="AppIV" localSheetId="6">#REF!</definedName>
    <definedName name="AppIV">#REF!</definedName>
    <definedName name="AppIX" localSheetId="6">#REF!</definedName>
    <definedName name="AppIX">#REF!</definedName>
    <definedName name="AppV" localSheetId="6">#REF!</definedName>
    <definedName name="AppV">#REF!</definedName>
    <definedName name="AppVI" localSheetId="6">#REF!</definedName>
    <definedName name="AppVI">#REF!</definedName>
    <definedName name="AppVII" localSheetId="6">#REF!</definedName>
    <definedName name="AppVII">#REF!</definedName>
    <definedName name="AppVIII" localSheetId="6">#REF!</definedName>
    <definedName name="AppVIII">#REF!</definedName>
    <definedName name="AppX" localSheetId="6">#REF!</definedName>
    <definedName name="AppX">#REF!</definedName>
    <definedName name="AppXI" localSheetId="6">#REF!</definedName>
    <definedName name="AppXI">#REF!</definedName>
    <definedName name="APROV" localSheetId="6">#REF!</definedName>
    <definedName name="APROV">#REF!</definedName>
    <definedName name="arrears1" localSheetId="6">#REF!</definedName>
    <definedName name="arrears1">#REF!</definedName>
    <definedName name="arrears2" localSheetId="6">#REF!</definedName>
    <definedName name="arrears2">#REF!</definedName>
    <definedName name="arrears3" localSheetId="6">#REF!</definedName>
    <definedName name="arrears3">#REF!</definedName>
    <definedName name="arrears4" localSheetId="6">#REF!</definedName>
    <definedName name="arrears4">#REF!</definedName>
    <definedName name="arrears5" localSheetId="6">#REF!</definedName>
    <definedName name="arrears5">#REF!</definedName>
    <definedName name="AWCONTS" localSheetId="6">#REF!</definedName>
    <definedName name="AWCONTS">#REF!</definedName>
    <definedName name="BAL03955555" localSheetId="6">#REF!</definedName>
    <definedName name="BAL03955555">#REF!</definedName>
    <definedName name="BPROV" localSheetId="6">#REF!</definedName>
    <definedName name="BPROV">#REF!</definedName>
    <definedName name="BSCAT2" localSheetId="6">[3]POV!#REF!</definedName>
    <definedName name="BSCAT2">[3]POV!#REF!</definedName>
    <definedName name="BSCOM" localSheetId="6">#REF!</definedName>
    <definedName name="BSCOM">#REF!</definedName>
    <definedName name="BSPER2" localSheetId="6">[3]POV!#REF!</definedName>
    <definedName name="BSPER2">[3]POV!#REF!</definedName>
    <definedName name="BSSUM" localSheetId="6">#REF!</definedName>
    <definedName name="BSSUM">#REF!</definedName>
    <definedName name="BU">[4]BUInfo!$A$2:$C$10</definedName>
    <definedName name="budmain" localSheetId="6">#REF!</definedName>
    <definedName name="budmain">#REF!</definedName>
    <definedName name="BUDSALES" localSheetId="6">#REF!</definedName>
    <definedName name="BUDSALES">#REF!</definedName>
    <definedName name="buyothacc" localSheetId="6">#REF!</definedName>
    <definedName name="buyothacc">#REF!</definedName>
    <definedName name="BY_ACCOUNT" localSheetId="6">#REF!</definedName>
    <definedName name="BY_ACCOUNT">#REF!</definedName>
    <definedName name="CalcAgencyPrice" localSheetId="6">#REF!</definedName>
    <definedName name="CalcAgencyPrice">#REF!</definedName>
    <definedName name="Camitel" localSheetId="6">#REF!</definedName>
    <definedName name="Camitel">#REF!</definedName>
    <definedName name="Capex_Contingency" localSheetId="6">[1]Inputs!#REF!</definedName>
    <definedName name="Capex_Contingency">[1]Inputs!#REF!</definedName>
    <definedName name="capexfactor" localSheetId="6">#REF!</definedName>
    <definedName name="capexfactor">#REF!</definedName>
    <definedName name="CapPeriod1" localSheetId="6">#REF!</definedName>
    <definedName name="CapPeriod1">#REF!</definedName>
    <definedName name="CapPeriod2" localSheetId="6">#REF!</definedName>
    <definedName name="CapPeriod2">#REF!</definedName>
    <definedName name="CapPeriod3" localSheetId="6">#REF!</definedName>
    <definedName name="CapPeriod3">#REF!</definedName>
    <definedName name="CapPeriod4" localSheetId="6">#REF!</definedName>
    <definedName name="CapPeriod4">#REF!</definedName>
    <definedName name="CapPeriod5" localSheetId="6">#REF!</definedName>
    <definedName name="CapPeriod5">#REF!</definedName>
    <definedName name="catacc" localSheetId="6">#REF!</definedName>
    <definedName name="catacc">#REF!</definedName>
    <definedName name="Categories">[5]postes!$A$1:$A$29</definedName>
    <definedName name="class">[6]postes!$A$3:$A$43</definedName>
    <definedName name="cofother" localSheetId="6">#REF!,#REF!,#REF!,#REF!,#REF!,#REF!,#REF!,#REF!</definedName>
    <definedName name="cofother">#REF!,#REF!,#REF!,#REF!,#REF!,#REF!,#REF!,#REF!</definedName>
    <definedName name="Commission" localSheetId="6">#REF!</definedName>
    <definedName name="Commission">#REF!</definedName>
    <definedName name="cop" hidden="1">{#N/A,#N/A,FALSE,"P&amp;LVIETNAM";#N/A,#N/A,FALSE,"P&amp;L summary";#N/A,#N/A,FALSE,"Treasury";#N/A,#N/A,FALSE,"CB";#N/A,#N/A,FALSE,"CEO ";#N/A,#N/A,FALSE,"IBG";#N/A,#N/A,FALSE,"FIN";#N/A,#N/A,FALSE,"BS97"}</definedName>
    <definedName name="copy" hidden="1">{#N/A,#N/A,FALSE,"Sub-Mekong";#N/A,#N/A,FALSE,"IB";#N/A,#N/A,FALSE,"CB";#N/A,#N/A,FALSE,"CIB";#N/A,#N/A,FALSE,"Tsy - seg";#N/A,#N/A,FALSE,"Fin";#N/A,#N/A,FALSE,"CEO";#N/A,#N/A,FALSE,"VN"}</definedName>
    <definedName name="CouponDates" localSheetId="6">#REF!</definedName>
    <definedName name="CouponDates">#REF!</definedName>
    <definedName name="csDesignMode">1</definedName>
    <definedName name="DaRWk1" localSheetId="6">#REF!</definedName>
    <definedName name="DaRWk1">#REF!</definedName>
    <definedName name="DaRWk10" localSheetId="6">#REF!</definedName>
    <definedName name="DaRWk10">#REF!</definedName>
    <definedName name="DaRWk11" localSheetId="6">#REF!</definedName>
    <definedName name="DaRWk11">#REF!</definedName>
    <definedName name="DaRWk12" localSheetId="6">#REF!</definedName>
    <definedName name="DaRWk12">#REF!</definedName>
    <definedName name="DaRWk2" localSheetId="6">#REF!</definedName>
    <definedName name="DaRWk2">#REF!</definedName>
    <definedName name="DaRWk3" localSheetId="6">#REF!</definedName>
    <definedName name="DaRWk3">#REF!</definedName>
    <definedName name="DaRWk4" localSheetId="6">#REF!</definedName>
    <definedName name="DaRWk4">#REF!</definedName>
    <definedName name="DaRWk5" localSheetId="6">#REF!</definedName>
    <definedName name="DaRWk5">#REF!</definedName>
    <definedName name="DaRWk6" localSheetId="6">#REF!</definedName>
    <definedName name="DaRWk6">#REF!</definedName>
    <definedName name="DaRWk8" localSheetId="6">#REF!</definedName>
    <definedName name="DaRWk8">#REF!</definedName>
    <definedName name="DaRwk9" localSheetId="6">#REF!</definedName>
    <definedName name="DaRwk9">#REF!</definedName>
    <definedName name="data1" localSheetId="6">#REF!</definedName>
    <definedName name="data1">#REF!</definedName>
    <definedName name="_xlnm.Database" localSheetId="6">#REF!</definedName>
    <definedName name="_xlnm.Database">#REF!</definedName>
    <definedName name="DATE" localSheetId="6">#REF!</definedName>
    <definedName name="DATE">#REF!</definedName>
    <definedName name="Date1" localSheetId="6">#REF!</definedName>
    <definedName name="Date1">#REF!</definedName>
    <definedName name="Date2" localSheetId="6">#REF!</definedName>
    <definedName name="Date2">#REF!</definedName>
    <definedName name="Date3" localSheetId="6">#REF!</definedName>
    <definedName name="Date3">#REF!</definedName>
    <definedName name="Date4" localSheetId="6">#REF!</definedName>
    <definedName name="Date4">#REF!</definedName>
    <definedName name="Date5" localSheetId="6">#REF!</definedName>
    <definedName name="Date5">#REF!</definedName>
    <definedName name="DaWk7" localSheetId="6">#REF!</definedName>
    <definedName name="DaWk7">#REF!</definedName>
    <definedName name="dbrwk1" localSheetId="6">#REF!</definedName>
    <definedName name="dbrwk1">#REF!</definedName>
    <definedName name="dbrwk10" localSheetId="6">#REF!</definedName>
    <definedName name="dbrwk10">#REF!</definedName>
    <definedName name="dbrwk11" localSheetId="6">#REF!</definedName>
    <definedName name="dbrwk11">#REF!</definedName>
    <definedName name="dbrwk12" localSheetId="6">#REF!</definedName>
    <definedName name="dbrwk12">#REF!</definedName>
    <definedName name="dbrwk2" localSheetId="6">#REF!</definedName>
    <definedName name="dbrwk2">#REF!</definedName>
    <definedName name="dbrwk3" localSheetId="6">#REF!</definedName>
    <definedName name="dbrwk3">#REF!</definedName>
    <definedName name="dbrwk4" localSheetId="6">#REF!</definedName>
    <definedName name="dbrwk4">#REF!</definedName>
    <definedName name="dbrwk5" localSheetId="6">#REF!</definedName>
    <definedName name="dbrwk5">#REF!</definedName>
    <definedName name="dbrwk6" localSheetId="6">#REF!</definedName>
    <definedName name="dbrwk6">#REF!</definedName>
    <definedName name="dbrwk7" localSheetId="6">#REF!</definedName>
    <definedName name="dbrwk7">#REF!</definedName>
    <definedName name="dbrwk8" localSheetId="6">#REF!</definedName>
    <definedName name="dbrwk8">#REF!</definedName>
    <definedName name="dbrwk9" localSheetId="6">#REF!</definedName>
    <definedName name="dbrwk9">#REF!</definedName>
    <definedName name="dcrwk1" localSheetId="6">#REF!</definedName>
    <definedName name="dcrwk1">#REF!</definedName>
    <definedName name="dcrwk10" localSheetId="6">#REF!</definedName>
    <definedName name="dcrwk10">#REF!</definedName>
    <definedName name="dcrwk11" localSheetId="6">#REF!</definedName>
    <definedName name="dcrwk11">#REF!</definedName>
    <definedName name="dcrwk12" localSheetId="6">#REF!</definedName>
    <definedName name="dcrwk12">#REF!</definedName>
    <definedName name="dcrwk2" localSheetId="6">#REF!</definedName>
    <definedName name="dcrwk2">#REF!</definedName>
    <definedName name="dcrwk3" localSheetId="6">#REF!</definedName>
    <definedName name="dcrwk3">#REF!</definedName>
    <definedName name="dcrwk4" localSheetId="6">#REF!</definedName>
    <definedName name="dcrwk4">#REF!</definedName>
    <definedName name="dcrwk5" localSheetId="6">#REF!</definedName>
    <definedName name="dcrwk5">#REF!</definedName>
    <definedName name="dcrwk6" localSheetId="6">#REF!</definedName>
    <definedName name="dcrwk6">#REF!</definedName>
    <definedName name="dcrwk7" localSheetId="6">#REF!</definedName>
    <definedName name="dcrwk7">#REF!</definedName>
    <definedName name="dcrwk8" localSheetId="6">#REF!</definedName>
    <definedName name="dcrwk8">#REF!</definedName>
    <definedName name="dcrwk9" localSheetId="6">#REF!</definedName>
    <definedName name="dcrwk9">#REF!</definedName>
    <definedName name="DelDC" localSheetId="6">#REF!</definedName>
    <definedName name="DelDC">#REF!</definedName>
    <definedName name="DelDm" localSheetId="6">#REF!</definedName>
    <definedName name="DelDm">#REF!</definedName>
    <definedName name="Delivery" localSheetId="6">#REF!</definedName>
    <definedName name="Delivery">#REF!</definedName>
    <definedName name="DelType" localSheetId="6">#REF!</definedName>
    <definedName name="DelType">#REF!</definedName>
    <definedName name="deptLookup" localSheetId="6">#REF!</definedName>
    <definedName name="deptLookup">#REF!</definedName>
    <definedName name="ditinvacc" localSheetId="6">#REF!</definedName>
    <definedName name="ditinvacc">#REF!</definedName>
    <definedName name="DIVISION">[4]BUInfo!$E$3:$J$84</definedName>
    <definedName name="dk" localSheetId="6">[7]Purchase!#REF!</definedName>
    <definedName name="dk">[7]Purchase!#REF!</definedName>
    <definedName name="DOVEACC" localSheetId="6">#REF!</definedName>
    <definedName name="DOVEACC">#REF!</definedName>
    <definedName name="Drawdown1" localSheetId="6">#REF!</definedName>
    <definedName name="Drawdown1">#REF!</definedName>
    <definedName name="Drawdown2" localSheetId="6">#REF!</definedName>
    <definedName name="Drawdown2">#REF!</definedName>
    <definedName name="Drawdown3" localSheetId="6">#REF!</definedName>
    <definedName name="Drawdown3">#REF!</definedName>
    <definedName name="Drawdown4" localSheetId="6">#REF!</definedName>
    <definedName name="Drawdown4">#REF!</definedName>
    <definedName name="Drawdown5" localSheetId="6">#REF!</definedName>
    <definedName name="Drawdown5">#REF!</definedName>
    <definedName name="dumppr" localSheetId="6">#REF!</definedName>
    <definedName name="dumppr">#REF!</definedName>
    <definedName name="dutyacc" localSheetId="6">#REF!</definedName>
    <definedName name="dutyacc">#REF!</definedName>
    <definedName name="DUTYACCCALC" localSheetId="6">#REF!</definedName>
    <definedName name="DUTYACCCALC">#REF!</definedName>
    <definedName name="EBITDAexit" localSheetId="6">#REF!</definedName>
    <definedName name="EBITDAexit">#REF!</definedName>
    <definedName name="EDCM" localSheetId="6">[1]Inputs!#REF!</definedName>
    <definedName name="EDCM">[1]Inputs!#REF!</definedName>
    <definedName name="Ex.c" localSheetId="6">[8]Purchase!#REF!</definedName>
    <definedName name="Ex.c">[8]Purchase!#REF!</definedName>
    <definedName name="EXC." localSheetId="6">#REF!</definedName>
    <definedName name="EXC.">#REF!</definedName>
    <definedName name="FACE" localSheetId="6">#REF!</definedName>
    <definedName name="FACE">#REF!</definedName>
    <definedName name="factor1" localSheetId="6">#REF!</definedName>
    <definedName name="factor1">#REF!</definedName>
    <definedName name="factor1mean" localSheetId="6">#REF!</definedName>
    <definedName name="factor1mean">#REF!</definedName>
    <definedName name="factor1std" localSheetId="6">#REF!</definedName>
    <definedName name="factor1std">#REF!</definedName>
    <definedName name="factor2" localSheetId="6">#REF!</definedName>
    <definedName name="factor2">#REF!</definedName>
    <definedName name="factor2mean" localSheetId="6">#REF!</definedName>
    <definedName name="factor2mean">#REF!</definedName>
    <definedName name="factor2std" localSheetId="6">#REF!</definedName>
    <definedName name="factor2std">#REF!</definedName>
    <definedName name="factor3" localSheetId="6">#REF!</definedName>
    <definedName name="factor3">#REF!</definedName>
    <definedName name="factor3mean" localSheetId="6">#REF!</definedName>
    <definedName name="factor3mean">#REF!</definedName>
    <definedName name="factor3std" localSheetId="6">#REF!</definedName>
    <definedName name="factor3std">#REF!</definedName>
    <definedName name="FinalRedemptionDate" localSheetId="6">#REF!</definedName>
    <definedName name="FinalRedemptionDate">#REF!</definedName>
    <definedName name="FTBSch" localSheetId="6">[9]Sheet!#REF!</definedName>
    <definedName name="FTBSch">[9]Sheet!#REF!</definedName>
    <definedName name="ggg" localSheetId="6">#REF!</definedName>
    <definedName name="ggg">#REF!</definedName>
    <definedName name="Grossmargin" localSheetId="6">#REF!</definedName>
    <definedName name="Grossmargin">#REF!</definedName>
    <definedName name="Grossprofit" localSheetId="6">#REF!</definedName>
    <definedName name="Grossprofit">#REF!</definedName>
    <definedName name="GrphActSales" localSheetId="6">#REF!</definedName>
    <definedName name="GrphActSales">#REF!</definedName>
    <definedName name="GrphActStk" localSheetId="6">#REF!</definedName>
    <definedName name="GrphActStk">#REF!</definedName>
    <definedName name="GrphPlanSales" localSheetId="6">#REF!</definedName>
    <definedName name="GrphPlanSales">#REF!</definedName>
    <definedName name="GrphTgtStk" localSheetId="6">#REF!</definedName>
    <definedName name="GrphTgtStk">#REF!</definedName>
    <definedName name="hdsfjhfs" hidden="1">{#N/A,#N/A,FALSE,"P&amp;LVIETNAM";#N/A,#N/A,FALSE,"P&amp;L summary";#N/A,#N/A,FALSE,"Treasury";#N/A,#N/A,FALSE,"CB";#N/A,#N/A,FALSE,"CEO ";#N/A,#N/A,FALSE,"IBG";#N/A,#N/A,FALSE,"FIN";#N/A,#N/A,FALSE,"BS97"}</definedName>
    <definedName name="historicfinancials" localSheetId="6">#REF!</definedName>
    <definedName name="historicfinancials">#REF!</definedName>
    <definedName name="idcprov" localSheetId="6">#REF!</definedName>
    <definedName name="idcprov">#REF!</definedName>
    <definedName name="IELWSALES" localSheetId="6">#REF!</definedName>
    <definedName name="IELWSALES">#REF!</definedName>
    <definedName name="IELYSALES" localSheetId="6">#REF!</definedName>
    <definedName name="IELYSALES">#REF!</definedName>
    <definedName name="IEPLANSALES" localSheetId="6">#REF!</definedName>
    <definedName name="IEPLANSALES">#REF!</definedName>
    <definedName name="IESP" localSheetId="6">#REF!</definedName>
    <definedName name="IESP">#REF!</definedName>
    <definedName name="IntFreeCred" localSheetId="6">#REF!</definedName>
    <definedName name="IntFreeCred">#REF!</definedName>
    <definedName name="IRRRange" localSheetId="6">OFFSET('Chart of Account (Tax Dpt)'!IRRStart,0,0,1,COUNT(#REF!))</definedName>
    <definedName name="IRRRange">OFFSET(IRRStart,0,0,1,COUNT(#REF!))</definedName>
    <definedName name="IRRStart" localSheetId="6">#REF!</definedName>
    <definedName name="IRRStart">#REF!</definedName>
    <definedName name="jfjs" hidden="1">{#N/A,#N/A,FALSE,"P&amp;LVN H2";#N/A,#N/A,FALSE,"P&amp;LVIETNAM";#N/A,#N/A,FALSE,"P&amp;LVN H1";#N/A,#N/A,FALSE,"P&amp;L summary";#N/A,#N/A,FALSE,"CB";#N/A,#N/A,FALSE,"CEO ";#N/A,#N/A,FALSE,"Treasury";#N/A,#N/A,FALSE,"IBG";#N/A,#N/A,FALSE,"FIN";#N/A,#N/A,FALSE,"INDO";#N/A,#N/A,FALSE,"BS97"}</definedName>
    <definedName name="keyerracc" localSheetId="6">#REF!</definedName>
    <definedName name="keyerracc">#REF!</definedName>
    <definedName name="list1" localSheetId="6">#REF!</definedName>
    <definedName name="list1">#REF!</definedName>
    <definedName name="list2" localSheetId="6">#REF!</definedName>
    <definedName name="list2">#REF!</definedName>
    <definedName name="list3" localSheetId="6">#REF!</definedName>
    <definedName name="list3">#REF!</definedName>
    <definedName name="list4" localSheetId="6">#REF!</definedName>
    <definedName name="list4">#REF!</definedName>
    <definedName name="list5" localSheetId="6">#REF!</definedName>
    <definedName name="list5">#REF!</definedName>
    <definedName name="lloyacc" localSheetId="6">#REF!</definedName>
    <definedName name="lloyacc">#REF!</definedName>
    <definedName name="Loan_Repayments" localSheetId="6">#REF!</definedName>
    <definedName name="Loan_Repayments">#REF!</definedName>
    <definedName name="Location_of_Work">[10]Data!$B$2:$B$22</definedName>
    <definedName name="LOCRTNPROV" localSheetId="6">#REF!</definedName>
    <definedName name="LOCRTNPROV">#REF!</definedName>
    <definedName name="LOCSTKPROV" localSheetId="6">#REF!</definedName>
    <definedName name="LOCSTKPROV">#REF!</definedName>
    <definedName name="loop1" localSheetId="6">#REF!</definedName>
    <definedName name="loop1">#REF!</definedName>
    <definedName name="loopcounter1" localSheetId="6">#REF!</definedName>
    <definedName name="loopcounter1">#REF!</definedName>
    <definedName name="lotcprov" localSheetId="6">#REF!</definedName>
    <definedName name="lotcprov">#REF!</definedName>
    <definedName name="lotprov" localSheetId="6">#REF!</definedName>
    <definedName name="lotprov">#REF!</definedName>
    <definedName name="LWSALES" localSheetId="6">#REF!</definedName>
    <definedName name="LWSALES">#REF!</definedName>
    <definedName name="LYBin" localSheetId="6">#REF!</definedName>
    <definedName name="LYBin">#REF!</definedName>
    <definedName name="LYHolds" localSheetId="6">#REF!</definedName>
    <definedName name="LYHolds">#REF!</definedName>
    <definedName name="LYNet" localSheetId="6">#REF!</definedName>
    <definedName name="LYNet">#REF!</definedName>
    <definedName name="LYoos" localSheetId="6">#REF!</definedName>
    <definedName name="LYoos">#REF!</definedName>
    <definedName name="LYReselects" localSheetId="6">#REF!</definedName>
    <definedName name="LYReselects">#REF!</definedName>
    <definedName name="LYReturns" localSheetId="6">#REF!</definedName>
    <definedName name="LYReturns">#REF!</definedName>
    <definedName name="LYSales" localSheetId="6">#REF!</definedName>
    <definedName name="LYSales">#REF!</definedName>
    <definedName name="LYTotal" localSheetId="6">#REF!</definedName>
    <definedName name="LYTotal">#REF!</definedName>
    <definedName name="MARGINPLAN" localSheetId="6">#REF!</definedName>
    <definedName name="MARGINPLAN">#REF!</definedName>
    <definedName name="MARGINPROJ" localSheetId="6">#REF!</definedName>
    <definedName name="MARGINPROJ">#REF!</definedName>
    <definedName name="Master" hidden="1">{#N/A,#N/A,FALSE,"P&amp;LVN H2";#N/A,#N/A,FALSE,"P&amp;LVIETNAM";#N/A,#N/A,FALSE,"P&amp;LVN H1";#N/A,#N/A,FALSE,"P&amp;L summary";#N/A,#N/A,FALSE,"CB";#N/A,#N/A,FALSE,"CEO ";#N/A,#N/A,FALSE,"Treasury";#N/A,#N/A,FALSE,"IBG";#N/A,#N/A,FALSE,"FIN";#N/A,#N/A,FALSE,"INDO";#N/A,#N/A,FALSE,"BS97"}</definedName>
    <definedName name="mdownacc" localSheetId="6">#REF!</definedName>
    <definedName name="mdownacc">#REF!</definedName>
    <definedName name="Method_of_Payment">[10]Data!$C$2:$C$7</definedName>
    <definedName name="mirr1" localSheetId="6">#REF!</definedName>
    <definedName name="mirr1">#REF!</definedName>
    <definedName name="mirr2" localSheetId="6">#REF!</definedName>
    <definedName name="mirr2">#REF!</definedName>
    <definedName name="Mkt_Vouch" localSheetId="6">#REF!,#REF!</definedName>
    <definedName name="Mkt_Vouch">#REF!,#REF!</definedName>
    <definedName name="Nationality">[10]Data!$A$2:$A$22</definedName>
    <definedName name="NESNACC" localSheetId="6">#REF!</definedName>
    <definedName name="NESNACC">#REF!</definedName>
    <definedName name="nilacc" localSheetId="6">#REF!</definedName>
    <definedName name="nilacc">#REF!</definedName>
    <definedName name="niltrnacc" localSheetId="6">#REF!</definedName>
    <definedName name="niltrnacc">#REF!</definedName>
    <definedName name="NOTE1" localSheetId="6">#REF!</definedName>
    <definedName name="NOTE1">#REF!</definedName>
    <definedName name="NOTE2" localSheetId="6">#REF!</definedName>
    <definedName name="NOTE2">#REF!</definedName>
    <definedName name="NvsASD">"V2004-09-30"</definedName>
    <definedName name="NvsAutoDrillOk">"VN"</definedName>
    <definedName name="NvsElapsedTime">0.00038113426126074</definedName>
    <definedName name="NvsEndTime">38281.719677662</definedName>
    <definedName name="NvsInstSpec">"%,FANZ_BRANCH,TBRCH_NVISION_28599,NQUEST,FCURRENCY_CD,VFJD,FANZ_SEGMENT_ID,TSEGM_NVISION_28599,NQUEST"</definedName>
    <definedName name="NvsLayoutType">"M3"</definedName>
    <definedName name="NvsNplSpec">"%,X,RZF..,CNF.."</definedName>
    <definedName name="NvsPanelEffdt">"V1996-03-28"</definedName>
    <definedName name="NvsPanelSetid">"VMODEL"</definedName>
    <definedName name="NvsReqBU">"V28599"</definedName>
    <definedName name="NvsReqBUOnly">"VY"</definedName>
    <definedName name="NvsTransLed">"VN"</definedName>
    <definedName name="NvsTreeASD">"V2004-09-30"</definedName>
    <definedName name="Page1" localSheetId="6">#REF!</definedName>
    <definedName name="Page1">#REF!</definedName>
    <definedName name="Page2" localSheetId="6">#REF!</definedName>
    <definedName name="Page2">#REF!</definedName>
    <definedName name="PER3DUTY" localSheetId="6">#REF!</definedName>
    <definedName name="PER3DUTY">#REF!</definedName>
    <definedName name="Period" localSheetId="6">#REF!</definedName>
    <definedName name="Period">#REF!</definedName>
    <definedName name="PeriodsInYear" localSheetId="6">'[11]P&amp;L'!#REF!</definedName>
    <definedName name="PeriodsInYear">'[11]P&amp;L'!#REF!</definedName>
    <definedName name="PERNO" localSheetId="6">#REF!</definedName>
    <definedName name="PERNO">#REF!</definedName>
    <definedName name="PERSONAL">"Button 31"</definedName>
    <definedName name="poinvacc" localSheetId="6">#REF!</definedName>
    <definedName name="poinvacc">#REF!</definedName>
    <definedName name="Post_tax_Cashflows" localSheetId="6">#REF!</definedName>
    <definedName name="Post_tax_Cashflows">#REF!</definedName>
    <definedName name="postes">[12]postes!$A$8:$A$38</definedName>
    <definedName name="PRDump" localSheetId="6">#REF!</definedName>
    <definedName name="PRDump">#REF!</definedName>
    <definedName name="Pre_Tax_Cashflows" localSheetId="6">#REF!</definedName>
    <definedName name="Pre_Tax_Cashflows">#REF!</definedName>
    <definedName name="PRINT_ALL" localSheetId="6">#REF!</definedName>
    <definedName name="PRINT_ALL">#REF!</definedName>
    <definedName name="_xlnm.Print_Area" localSheetId="6">'Chart of Account (Tax Dpt)'!$A$1:$G$108</definedName>
    <definedName name="_xlnm.Print_Area">#REF!</definedName>
    <definedName name="Print_Area_MI" localSheetId="6">#REF!</definedName>
    <definedName name="Print_Area_MI">#REF!</definedName>
    <definedName name="_xlnm.Print_Titles" localSheetId="1">'MRO P&amp;L 2022'!$B:$G,'MRO P&amp;L 2022'!$1:$1</definedName>
    <definedName name="Print_Titles_MI" localSheetId="6">#REF!</definedName>
    <definedName name="Print_Titles_MI">#REF!</definedName>
    <definedName name="PrintArea" localSheetId="6">'[13]Incoms.sta.Sep-03'!#REF!</definedName>
    <definedName name="PrintArea">'[13]Incoms.sta.Sep-03'!#REF!</definedName>
    <definedName name="PRINTLOC">[0]!PRINTLOC</definedName>
    <definedName name="PRIS1" localSheetId="6">#REF!</definedName>
    <definedName name="PRIS1">#REF!</definedName>
    <definedName name="PRIS2" localSheetId="6">#REF!</definedName>
    <definedName name="PRIS2">#REF!</definedName>
    <definedName name="PRMA1" localSheetId="6">#REF!</definedName>
    <definedName name="PRMA1">#REF!</definedName>
    <definedName name="pymttype" localSheetId="6">#REF!</definedName>
    <definedName name="pymttype">#REF!</definedName>
    <definedName name="Q" localSheetId="6">#REF!</definedName>
    <definedName name="Q">#REF!</definedName>
    <definedName name="QB_COLUMN_122210" localSheetId="1" hidden="1">'MRO P&amp;L 2022'!#REF!</definedName>
    <definedName name="QB_COLUMN_124210" localSheetId="1" hidden="1">'MRO P&amp;L 2022'!#REF!</definedName>
    <definedName name="QB_COLUMN_131210" localSheetId="1" hidden="1">'MRO P&amp;L 2022'!#REF!</definedName>
    <definedName name="QB_COLUMN_136210" localSheetId="1" hidden="1">'MRO P&amp;L 2022'!#REF!</definedName>
    <definedName name="QB_COLUMN_137210" localSheetId="1" hidden="1">'MRO P&amp;L 2022'!#REF!</definedName>
    <definedName name="QB_COLUMN_141210" localSheetId="1" hidden="1">'MRO P&amp;L 2022'!#REF!</definedName>
    <definedName name="QB_COLUMN_24210" localSheetId="1" hidden="1">'MRO P&amp;L 2022'!#REF!</definedName>
    <definedName name="QB_COLUMN_25210" localSheetId="1" hidden="1">'MRO P&amp;L 2022'!#REF!</definedName>
    <definedName name="QB_COLUMN_31301" localSheetId="1" hidden="1">'MRO P&amp;L 2022'!$I$1</definedName>
    <definedName name="QB_COLUMN_5210" localSheetId="1" hidden="1">'MRO P&amp;L 2022'!#REF!</definedName>
    <definedName name="QB_COLUMN_98210" localSheetId="1" hidden="1">'MRO P&amp;L 2022'!#REF!</definedName>
    <definedName name="QB_DATA_0" localSheetId="1" hidden="1">'MRO P&amp;L 2022'!$4:$4,'MRO P&amp;L 2022'!#REF!,'MRO P&amp;L 2022'!$5:$5,'MRO P&amp;L 2022'!$6:$6,'MRO P&amp;L 2022'!$8:$8,'MRO P&amp;L 2022'!$9:$9,'MRO P&amp;L 2022'!$10:$10,'MRO P&amp;L 2022'!$17:$17,'MRO P&amp;L 2022'!$18:$18,'MRO P&amp;L 2022'!$19:$19,'MRO P&amp;L 2022'!$20:$20,'MRO P&amp;L 2022'!$21:$21,'MRO P&amp;L 2022'!$22:$22,'MRO P&amp;L 2022'!$23:$23,'MRO P&amp;L 2022'!$24:$24,'MRO P&amp;L 2022'!#REF!</definedName>
    <definedName name="QB_DATA_1" localSheetId="1" hidden="1">'MRO P&amp;L 2022'!$26:$26,'MRO P&amp;L 2022'!$27:$27,'MRO P&amp;L 2022'!$28:$28,'MRO P&amp;L 2022'!$29:$29,'MRO P&amp;L 2022'!$30:$30,'MRO P&amp;L 2022'!#REF!,'MRO P&amp;L 2022'!$33:$33,'MRO P&amp;L 2022'!$34:$34,'MRO P&amp;L 2022'!$35:$35,'MRO P&amp;L 2022'!#REF!,'MRO P&amp;L 2022'!$38:$38,'MRO P&amp;L 2022'!$39:$39,'MRO P&amp;L 2022'!#REF!,'MRO P&amp;L 2022'!#REF!,'MRO P&amp;L 2022'!$41:$41,'MRO P&amp;L 2022'!$42:$42</definedName>
    <definedName name="QB_DATA_2" localSheetId="1" hidden="1">'MRO P&amp;L 2022'!$44:$44,'MRO P&amp;L 2022'!$47:$47,'MRO P&amp;L 2022'!$48:$48,'MRO P&amp;L 2022'!$49:$49,'MRO P&amp;L 2022'!$50:$50,'MRO P&amp;L 2022'!$51:$51,'MRO P&amp;L 2022'!$52:$52,'MRO P&amp;L 2022'!$55:$55,'MRO P&amp;L 2022'!$56:$56,'MRO P&amp;L 2022'!$57:$57,'MRO P&amp;L 2022'!$58:$58,'MRO P&amp;L 2022'!$59:$59,'MRO P&amp;L 2022'!$60:$60,'MRO P&amp;L 2022'!$61:$61,'MRO P&amp;L 2022'!$62:$62,'MRO P&amp;L 2022'!#REF!</definedName>
    <definedName name="QB_DATA_3" localSheetId="1" hidden="1">'MRO P&amp;L 2022'!$66:$66,'MRO P&amp;L 2022'!#REF!,'MRO P&amp;L 2022'!#REF!,'MRO P&amp;L 2022'!#REF!,'MRO P&amp;L 2022'!$67:$67,'MRO P&amp;L 2022'!$68:$68,'MRO P&amp;L 2022'!$70:$70,'MRO P&amp;L 2022'!$72:$72,'MRO P&amp;L 2022'!#REF!,'MRO P&amp;L 2022'!#REF!,'MRO P&amp;L 2022'!$76:$76,'MRO P&amp;L 2022'!$77:$77,'MRO P&amp;L 2022'!$78:$78,'MRO P&amp;L 2022'!#REF!,'MRO P&amp;L 2022'!$79:$79,'MRO P&amp;L 2022'!$80:$80</definedName>
    <definedName name="QB_DATA_4" localSheetId="1" hidden="1">'MRO P&amp;L 2022'!$81:$81,'MRO P&amp;L 2022'!$84:$84,'MRO P&amp;L 2022'!$85:$85,'MRO P&amp;L 2022'!$86:$86,'MRO P&amp;L 2022'!$87:$87,'MRO P&amp;L 2022'!$88:$88,'MRO P&amp;L 2022'!$89:$89,'MRO P&amp;L 2022'!$92:$92,'MRO P&amp;L 2022'!$93:$93,'MRO P&amp;L 2022'!#REF!,'MRO P&amp;L 2022'!$94:$94,'MRO P&amp;L 2022'!$95:$95,'MRO P&amp;L 2022'!#REF!,'MRO P&amp;L 2022'!#REF!,'MRO P&amp;L 2022'!$98:$98,'MRO P&amp;L 2022'!#REF!</definedName>
    <definedName name="QB_DATA_5" localSheetId="1" hidden="1">'MRO P&amp;L 2022'!#REF!,'MRO P&amp;L 2022'!$102:$102,'MRO P&amp;L 2022'!$103:$103,'MRO P&amp;L 2022'!$104:$104,'MRO P&amp;L 2022'!#REF!,'MRO P&amp;L 2022'!$106:$106,'MRO P&amp;L 2022'!$109:$109</definedName>
    <definedName name="QB_FORMULA_0" localSheetId="1" hidden="1">'MRO P&amp;L 2022'!$I$4,'MRO P&amp;L 2022'!#REF!,'MRO P&amp;L 2022'!$I$5,'MRO P&amp;L 2022'!$I$6,'MRO P&amp;L 2022'!$I$8,'MRO P&amp;L 2022'!$I$9,'MRO P&amp;L 2022'!$I$10,'MRO P&amp;L 2022'!#REF!,'MRO P&amp;L 2022'!#REF!,'MRO P&amp;L 2022'!#REF!,'MRO P&amp;L 2022'!#REF!,'MRO P&amp;L 2022'!#REF!,'MRO P&amp;L 2022'!#REF!,'MRO P&amp;L 2022'!#REF!,'MRO P&amp;L 2022'!#REF!,'MRO P&amp;L 2022'!#REF!</definedName>
    <definedName name="QB_FORMULA_1" localSheetId="1" hidden="1">'MRO P&amp;L 2022'!#REF!,'MRO P&amp;L 2022'!$I$11,'MRO P&amp;L 2022'!#REF!,'MRO P&amp;L 2022'!#REF!,'MRO P&amp;L 2022'!#REF!,'MRO P&amp;L 2022'!#REF!,'MRO P&amp;L 2022'!#REF!,'MRO P&amp;L 2022'!#REF!,'MRO P&amp;L 2022'!#REF!,'MRO P&amp;L 2022'!#REF!,'MRO P&amp;L 2022'!#REF!,'MRO P&amp;L 2022'!#REF!,'MRO P&amp;L 2022'!$I$12,'MRO P&amp;L 2022'!#REF!,'MRO P&amp;L 2022'!#REF!,'MRO P&amp;L 2022'!#REF!</definedName>
    <definedName name="QB_FORMULA_10" localSheetId="1" hidden="1">'MRO P&amp;L 2022'!#REF!,'MRO P&amp;L 2022'!$I$79,'MRO P&amp;L 2022'!$I$80,'MRO P&amp;L 2022'!$I$81,'MRO P&amp;L 2022'!#REF!,'MRO P&amp;L 2022'!#REF!,'MRO P&amp;L 2022'!#REF!,'MRO P&amp;L 2022'!#REF!,'MRO P&amp;L 2022'!#REF!,'MRO P&amp;L 2022'!#REF!,'MRO P&amp;L 2022'!#REF!,'MRO P&amp;L 2022'!#REF!,'MRO P&amp;L 2022'!#REF!,'MRO P&amp;L 2022'!#REF!,'MRO P&amp;L 2022'!$I$82,'MRO P&amp;L 2022'!$I$84</definedName>
    <definedName name="QB_FORMULA_11" localSheetId="1" hidden="1">'MRO P&amp;L 2022'!$I$85,'MRO P&amp;L 2022'!$I$86,'MRO P&amp;L 2022'!$I$87,'MRO P&amp;L 2022'!$I$88,'MRO P&amp;L 2022'!$I$89,'MRO P&amp;L 2022'!#REF!,'MRO P&amp;L 2022'!#REF!,'MRO P&amp;L 2022'!#REF!,'MRO P&amp;L 2022'!#REF!,'MRO P&amp;L 2022'!#REF!,'MRO P&amp;L 2022'!#REF!,'MRO P&amp;L 2022'!#REF!,'MRO P&amp;L 2022'!#REF!,'MRO P&amp;L 2022'!#REF!,'MRO P&amp;L 2022'!#REF!,'MRO P&amp;L 2022'!$I$90</definedName>
    <definedName name="QB_FORMULA_12" localSheetId="1" hidden="1">'MRO P&amp;L 2022'!$I$92,'MRO P&amp;L 2022'!$I$93,'MRO P&amp;L 2022'!#REF!,'MRO P&amp;L 2022'!$I$94,'MRO P&amp;L 2022'!$I$95,'MRO P&amp;L 2022'!#REF!,'MRO P&amp;L 2022'!#REF!,'MRO P&amp;L 2022'!#REF!,'MRO P&amp;L 2022'!#REF!,'MRO P&amp;L 2022'!#REF!,'MRO P&amp;L 2022'!#REF!,'MRO P&amp;L 2022'!#REF!,'MRO P&amp;L 2022'!#REF!,'MRO P&amp;L 2022'!#REF!,'MRO P&amp;L 2022'!#REF!,'MRO P&amp;L 2022'!#REF!</definedName>
    <definedName name="QB_FORMULA_13" localSheetId="1" hidden="1">'MRO P&amp;L 2022'!$I$96,'MRO P&amp;L 2022'!#REF!,'MRO P&amp;L 2022'!$I$98,'MRO P&amp;L 2022'!#REF!,'MRO P&amp;L 2022'!#REF!,'MRO P&amp;L 2022'!#REF!,'MRO P&amp;L 2022'!#REF!,'MRO P&amp;L 2022'!#REF!,'MRO P&amp;L 2022'!#REF!,'MRO P&amp;L 2022'!#REF!,'MRO P&amp;L 2022'!#REF!,'MRO P&amp;L 2022'!#REF!,'MRO P&amp;L 2022'!#REF!,'MRO P&amp;L 2022'!#REF!,'MRO P&amp;L 2022'!#REF!,'MRO P&amp;L 2022'!$I$100</definedName>
    <definedName name="QB_FORMULA_14" localSheetId="1" hidden="1">'MRO P&amp;L 2022'!$I$102,'MRO P&amp;L 2022'!$I$103,'MRO P&amp;L 2022'!$I$104,'MRO P&amp;L 2022'!#REF!,'MRO P&amp;L 2022'!$I$106,'MRO P&amp;L 2022'!#REF!,'MRO P&amp;L 2022'!#REF!,'MRO P&amp;L 2022'!#REF!,'MRO P&amp;L 2022'!#REF!,'MRO P&amp;L 2022'!#REF!,'MRO P&amp;L 2022'!#REF!,'MRO P&amp;L 2022'!#REF!,'MRO P&amp;L 2022'!#REF!,'MRO P&amp;L 2022'!#REF!,'MRO P&amp;L 2022'!#REF!,'MRO P&amp;L 2022'!$I$107</definedName>
    <definedName name="QB_FORMULA_15" localSheetId="1" hidden="1">'MRO P&amp;L 2022'!#REF!,'MRO P&amp;L 2022'!#REF!,'MRO P&amp;L 2022'!#REF!,'MRO P&amp;L 2022'!#REF!,'MRO P&amp;L 2022'!#REF!,'MRO P&amp;L 2022'!#REF!,'MRO P&amp;L 2022'!#REF!,'MRO P&amp;L 2022'!#REF!,'MRO P&amp;L 2022'!#REF!,'MRO P&amp;L 2022'!#REF!,'MRO P&amp;L 2022'!#REF!,'MRO P&amp;L 2022'!$I$109,'MRO P&amp;L 2022'!#REF!,'MRO P&amp;L 2022'!#REF!,'MRO P&amp;L 2022'!#REF!,'MRO P&amp;L 2022'!#REF!</definedName>
    <definedName name="QB_FORMULA_16" localSheetId="1" hidden="1">'MRO P&amp;L 2022'!#REF!,'MRO P&amp;L 2022'!#REF!,'MRO P&amp;L 2022'!#REF!,'MRO P&amp;L 2022'!#REF!,'MRO P&amp;L 2022'!#REF!,'MRO P&amp;L 2022'!#REF!,'MRO P&amp;L 2022'!#REF!,'MRO P&amp;L 2022'!#REF!,'MRO P&amp;L 2022'!#REF!,'MRO P&amp;L 2022'!#REF!,'MRO P&amp;L 2022'!#REF!,'MRO P&amp;L 2022'!#REF!,'MRO P&amp;L 2022'!#REF!,'MRO P&amp;L 2022'!#REF!,'MRO P&amp;L 2022'!#REF!,'MRO P&amp;L 2022'!#REF!</definedName>
    <definedName name="QB_FORMULA_17" localSheetId="1" hidden="1">'MRO P&amp;L 2022'!#REF!,'MRO P&amp;L 2022'!$I$110</definedName>
    <definedName name="QB_FORMULA_2" localSheetId="1" hidden="1">'MRO P&amp;L 2022'!#REF!,'MRO P&amp;L 2022'!#REF!,'MRO P&amp;L 2022'!#REF!,'MRO P&amp;L 2022'!#REF!,'MRO P&amp;L 2022'!#REF!,'MRO P&amp;L 2022'!#REF!,'MRO P&amp;L 2022'!#REF!,'MRO P&amp;L 2022'!$I$13,'MRO P&amp;L 2022'!$I$17,'MRO P&amp;L 2022'!$I$18,'MRO P&amp;L 2022'!$I$19,'MRO P&amp;L 2022'!$I$20,'MRO P&amp;L 2022'!$I$21,'MRO P&amp;L 2022'!$I$22,'MRO P&amp;L 2022'!$I$23,'MRO P&amp;L 2022'!$I$24</definedName>
    <definedName name="QB_FORMULA_3" localSheetId="1" hidden="1">'MRO P&amp;L 2022'!#REF!,'MRO P&amp;L 2022'!$I$26,'MRO P&amp;L 2022'!$I$27,'MRO P&amp;L 2022'!$I$28,'MRO P&amp;L 2022'!$I$29,'MRO P&amp;L 2022'!$I$30,'MRO P&amp;L 2022'!#REF!,'MRO P&amp;L 2022'!#REF!,'MRO P&amp;L 2022'!#REF!,'MRO P&amp;L 2022'!#REF!,'MRO P&amp;L 2022'!#REF!,'MRO P&amp;L 2022'!#REF!,'MRO P&amp;L 2022'!#REF!,'MRO P&amp;L 2022'!#REF!,'MRO P&amp;L 2022'!#REF!,'MRO P&amp;L 2022'!#REF!</definedName>
    <definedName name="QB_FORMULA_4" localSheetId="1" hidden="1">'MRO P&amp;L 2022'!#REF!,'MRO P&amp;L 2022'!$I$31,'MRO P&amp;L 2022'!$I$33,'MRO P&amp;L 2022'!$I$34,'MRO P&amp;L 2022'!$I$35,'MRO P&amp;L 2022'!#REF!,'MRO P&amp;L 2022'!#REF!,'MRO P&amp;L 2022'!#REF!,'MRO P&amp;L 2022'!#REF!,'MRO P&amp;L 2022'!#REF!,'MRO P&amp;L 2022'!#REF!,'MRO P&amp;L 2022'!#REF!,'MRO P&amp;L 2022'!#REF!,'MRO P&amp;L 2022'!#REF!,'MRO P&amp;L 2022'!#REF!,'MRO P&amp;L 2022'!#REF!</definedName>
    <definedName name="QB_FORMULA_5" localSheetId="1" hidden="1">'MRO P&amp;L 2022'!$I$36,'MRO P&amp;L 2022'!$I$38,'MRO P&amp;L 2022'!$I$39,'MRO P&amp;L 2022'!#REF!,'MRO P&amp;L 2022'!#REF!,'MRO P&amp;L 2022'!$I$41,'MRO P&amp;L 2022'!$I$42,'MRO P&amp;L 2022'!$I$44,'MRO P&amp;L 2022'!#REF!,'MRO P&amp;L 2022'!#REF!,'MRO P&amp;L 2022'!#REF!,'MRO P&amp;L 2022'!#REF!,'MRO P&amp;L 2022'!#REF!,'MRO P&amp;L 2022'!#REF!,'MRO P&amp;L 2022'!#REF!,'MRO P&amp;L 2022'!#REF!</definedName>
    <definedName name="QB_FORMULA_6" localSheetId="1" hidden="1">'MRO P&amp;L 2022'!#REF!,'MRO P&amp;L 2022'!#REF!,'MRO P&amp;L 2022'!$I$45,'MRO P&amp;L 2022'!$I$47,'MRO P&amp;L 2022'!$I$48,'MRO P&amp;L 2022'!$I$49,'MRO P&amp;L 2022'!$I$50,'MRO P&amp;L 2022'!$I$51,'MRO P&amp;L 2022'!$I$52,'MRO P&amp;L 2022'!#REF!,'MRO P&amp;L 2022'!#REF!,'MRO P&amp;L 2022'!#REF!,'MRO P&amp;L 2022'!#REF!,'MRO P&amp;L 2022'!#REF!,'MRO P&amp;L 2022'!#REF!,'MRO P&amp;L 2022'!#REF!</definedName>
    <definedName name="QB_FORMULA_7" localSheetId="1" hidden="1">'MRO P&amp;L 2022'!#REF!,'MRO P&amp;L 2022'!#REF!,'MRO P&amp;L 2022'!#REF!,'MRO P&amp;L 2022'!$I$53,'MRO P&amp;L 2022'!$I$55,'MRO P&amp;L 2022'!$I$56,'MRO P&amp;L 2022'!$I$57,'MRO P&amp;L 2022'!$I$58,'MRO P&amp;L 2022'!$I$59,'MRO P&amp;L 2022'!$I$60,'MRO P&amp;L 2022'!$I$61,'MRO P&amp;L 2022'!$I$62,'MRO P&amp;L 2022'!#REF!,'MRO P&amp;L 2022'!#REF!,'MRO P&amp;L 2022'!#REF!,'MRO P&amp;L 2022'!#REF!</definedName>
    <definedName name="QB_FORMULA_8" localSheetId="1" hidden="1">'MRO P&amp;L 2022'!#REF!,'MRO P&amp;L 2022'!#REF!,'MRO P&amp;L 2022'!#REF!,'MRO P&amp;L 2022'!#REF!,'MRO P&amp;L 2022'!#REF!,'MRO P&amp;L 2022'!#REF!,'MRO P&amp;L 2022'!#REF!,'MRO P&amp;L 2022'!$I$64,'MRO P&amp;L 2022'!$I$66,'MRO P&amp;L 2022'!#REF!,'MRO P&amp;L 2022'!#REF!,'MRO P&amp;L 2022'!#REF!,'MRO P&amp;L 2022'!$I$67,'MRO P&amp;L 2022'!$I$68,'MRO P&amp;L 2022'!$I$70,'MRO P&amp;L 2022'!$I$72</definedName>
    <definedName name="QB_FORMULA_9" localSheetId="1" hidden="1">'MRO P&amp;L 2022'!#REF!,'MRO P&amp;L 2022'!#REF!,'MRO P&amp;L 2022'!#REF!,'MRO P&amp;L 2022'!#REF!,'MRO P&amp;L 2022'!#REF!,'MRO P&amp;L 2022'!#REF!,'MRO P&amp;L 2022'!#REF!,'MRO P&amp;L 2022'!#REF!,'MRO P&amp;L 2022'!#REF!,'MRO P&amp;L 2022'!#REF!,'MRO P&amp;L 2022'!#REF!,'MRO P&amp;L 2022'!#REF!,'MRO P&amp;L 2022'!$I$74,'MRO P&amp;L 2022'!$I$76,'MRO P&amp;L 2022'!$I$77,'MRO P&amp;L 2022'!$I$78</definedName>
    <definedName name="QB_ROW_100250" localSheetId="1" hidden="1">'MRO P&amp;L 2022'!$G$60</definedName>
    <definedName name="QB_ROW_101250" localSheetId="1" hidden="1">'MRO P&amp;L 2022'!$G$61</definedName>
    <definedName name="QB_ROW_102250" localSheetId="1" hidden="1">'MRO P&amp;L 2022'!$G$62</definedName>
    <definedName name="QB_ROW_103250" localSheetId="1" hidden="1">'MRO P&amp;L 2022'!#REF!</definedName>
    <definedName name="QB_ROW_105040" localSheetId="1" hidden="1">'MRO P&amp;L 2022'!$F$65</definedName>
    <definedName name="QB_ROW_105340" localSheetId="1" hidden="1">'MRO P&amp;L 2022'!$F$74</definedName>
    <definedName name="QB_ROW_106250" localSheetId="1" hidden="1">'MRO P&amp;L 2022'!$G$66</definedName>
    <definedName name="QB_ROW_107250" localSheetId="1" hidden="1">'MRO P&amp;L 2022'!#REF!</definedName>
    <definedName name="QB_ROW_108250" localSheetId="1" hidden="1">'MRO P&amp;L 2022'!#REF!</definedName>
    <definedName name="QB_ROW_109250" localSheetId="1" hidden="1">'MRO P&amp;L 2022'!#REF!</definedName>
    <definedName name="QB_ROW_110250" localSheetId="1" hidden="1">'MRO P&amp;L 2022'!$G$67</definedName>
    <definedName name="QB_ROW_111250" localSheetId="1" hidden="1">'MRO P&amp;L 2022'!$G$68</definedName>
    <definedName name="QB_ROW_113250" localSheetId="1" hidden="1">'MRO P&amp;L 2022'!$G$70</definedName>
    <definedName name="QB_ROW_114250" localSheetId="1" hidden="1">'MRO P&amp;L 2022'!$G$72</definedName>
    <definedName name="QB_ROW_115250" localSheetId="1" hidden="1">'MRO P&amp;L 2022'!#REF!</definedName>
    <definedName name="QB_ROW_116250" localSheetId="1" hidden="1">'MRO P&amp;L 2022'!#REF!</definedName>
    <definedName name="QB_ROW_117040" localSheetId="1" hidden="1">'MRO P&amp;L 2022'!$F$75</definedName>
    <definedName name="QB_ROW_117340" localSheetId="1" hidden="1">'MRO P&amp;L 2022'!$F$82</definedName>
    <definedName name="QB_ROW_118250" localSheetId="1" hidden="1">'MRO P&amp;L 2022'!$G$76</definedName>
    <definedName name="QB_ROW_119250" localSheetId="1" hidden="1">'MRO P&amp;L 2022'!$G$77</definedName>
    <definedName name="QB_ROW_120250" localSheetId="1" hidden="1">'MRO P&amp;L 2022'!$G$78</definedName>
    <definedName name="QB_ROW_121250" localSheetId="1" hidden="1">'MRO P&amp;L 2022'!#REF!</definedName>
    <definedName name="QB_ROW_122250" localSheetId="1" hidden="1">'MRO P&amp;L 2022'!$G$79</definedName>
    <definedName name="QB_ROW_123250" localSheetId="1" hidden="1">'MRO P&amp;L 2022'!$G$80</definedName>
    <definedName name="QB_ROW_124250" localSheetId="1" hidden="1">'MRO P&amp;L 2022'!$G$81</definedName>
    <definedName name="QB_ROW_125040" localSheetId="1" hidden="1">'MRO P&amp;L 2022'!$F$83</definedName>
    <definedName name="QB_ROW_125340" localSheetId="1" hidden="1">'MRO P&amp;L 2022'!$F$90</definedName>
    <definedName name="QB_ROW_126250" localSheetId="1" hidden="1">'MRO P&amp;L 2022'!$G$84</definedName>
    <definedName name="QB_ROW_127250" localSheetId="1" hidden="1">'MRO P&amp;L 2022'!$G$85</definedName>
    <definedName name="QB_ROW_128250" localSheetId="1" hidden="1">'MRO P&amp;L 2022'!$G$86</definedName>
    <definedName name="QB_ROW_129250" localSheetId="1" hidden="1">'MRO P&amp;L 2022'!$G$87</definedName>
    <definedName name="QB_ROW_130250" localSheetId="1" hidden="1">'MRO P&amp;L 2022'!$G$88</definedName>
    <definedName name="QB_ROW_131250" localSheetId="1" hidden="1">'MRO P&amp;L 2022'!$G$89</definedName>
    <definedName name="QB_ROW_132040" localSheetId="1" hidden="1">'MRO P&amp;L 2022'!$F$91</definedName>
    <definedName name="QB_ROW_132340" localSheetId="1" hidden="1">'MRO P&amp;L 2022'!$F$96</definedName>
    <definedName name="QB_ROW_133250" localSheetId="1" hidden="1">'MRO P&amp;L 2022'!$G$92</definedName>
    <definedName name="QB_ROW_134250" localSheetId="1" hidden="1">'MRO P&amp;L 2022'!$G$93</definedName>
    <definedName name="QB_ROW_135250" localSheetId="1" hidden="1">'MRO P&amp;L 2022'!#REF!</definedName>
    <definedName name="QB_ROW_136250" localSheetId="1" hidden="1">'MRO P&amp;L 2022'!$G$94</definedName>
    <definedName name="QB_ROW_137250" localSheetId="1" hidden="1">'MRO P&amp;L 2022'!$G$95</definedName>
    <definedName name="QB_ROW_138250" localSheetId="1" hidden="1">'MRO P&amp;L 2022'!#REF!</definedName>
    <definedName name="QB_ROW_139240" localSheetId="1" hidden="1">'MRO P&amp;L 2022'!#REF!</definedName>
    <definedName name="QB_ROW_140040" localSheetId="1" hidden="1">'MRO P&amp;L 2022'!$F$97</definedName>
    <definedName name="QB_ROW_140250" localSheetId="1" hidden="1">'MRO P&amp;L 2022'!#REF!</definedName>
    <definedName name="QB_ROW_140340" localSheetId="1" hidden="1">'MRO P&amp;L 2022'!$F$100</definedName>
    <definedName name="QB_ROW_141250" localSheetId="1" hidden="1">'MRO P&amp;L 2022'!$G$98</definedName>
    <definedName name="QB_ROW_143250" localSheetId="1" hidden="1">'MRO P&amp;L 2022'!#REF!</definedName>
    <definedName name="QB_ROW_144040" localSheetId="1" hidden="1">'MRO P&amp;L 2022'!$F$101</definedName>
    <definedName name="QB_ROW_144340" localSheetId="1" hidden="1">'MRO P&amp;L 2022'!$F$107</definedName>
    <definedName name="QB_ROW_145250" localSheetId="1" hidden="1">'MRO P&amp;L 2022'!$G$102</definedName>
    <definedName name="QB_ROW_146250" localSheetId="1" hidden="1">'MRO P&amp;L 2022'!$G$103</definedName>
    <definedName name="QB_ROW_147250" localSheetId="1" hidden="1">'MRO P&amp;L 2022'!$G$104</definedName>
    <definedName name="QB_ROW_148250" localSheetId="1" hidden="1">'MRO P&amp;L 2022'!#REF!</definedName>
    <definedName name="QB_ROW_154250" localSheetId="1" hidden="1">'MRO P&amp;L 2022'!$G$106</definedName>
    <definedName name="QB_ROW_157230" localSheetId="1" hidden="1">'MRO P&amp;L 2022'!$E$109</definedName>
    <definedName name="QB_ROW_168240" localSheetId="1" hidden="1">'MRO P&amp;L 2022'!$F$9</definedName>
    <definedName name="QB_ROW_169240" localSheetId="1" hidden="1">'MRO P&amp;L 2022'!$F$10</definedName>
    <definedName name="QB_ROW_18301" localSheetId="1" hidden="1">'MRO P&amp;L 2022'!$B$110</definedName>
    <definedName name="QB_ROW_20022" localSheetId="1" hidden="1">'MRO P&amp;L 2022'!$D$2</definedName>
    <definedName name="QB_ROW_20322" localSheetId="1" hidden="1">'MRO P&amp;L 2022'!$D$12</definedName>
    <definedName name="QB_ROW_21022" localSheetId="1" hidden="1">'MRO P&amp;L 2022'!$D$14</definedName>
    <definedName name="QB_ROW_21322" localSheetId="1" hidden="1">'MRO P&amp;L 2022'!#REF!</definedName>
    <definedName name="QB_ROW_47030" localSheetId="1" hidden="1">'MRO P&amp;L 2022'!$E$3</definedName>
    <definedName name="QB_ROW_47330" localSheetId="1" hidden="1">'MRO P&amp;L 2022'!$E$11</definedName>
    <definedName name="QB_ROW_48240" localSheetId="1" hidden="1">'MRO P&amp;L 2022'!$F$4</definedName>
    <definedName name="QB_ROW_49240" localSheetId="1" hidden="1">'MRO P&amp;L 2022'!#REF!</definedName>
    <definedName name="QB_ROW_50240" localSheetId="1" hidden="1">'MRO P&amp;L 2022'!$F$5</definedName>
    <definedName name="QB_ROW_51240" localSheetId="1" hidden="1">'MRO P&amp;L 2022'!$F$6</definedName>
    <definedName name="QB_ROW_52240" localSheetId="1" hidden="1">'MRO P&amp;L 2022'!$F$8</definedName>
    <definedName name="QB_ROW_57030" localSheetId="1" hidden="1">'MRO P&amp;L 2022'!$E$15</definedName>
    <definedName name="QB_ROW_57330" localSheetId="1" hidden="1">'MRO P&amp;L 2022'!#REF!</definedName>
    <definedName name="QB_ROW_58040" localSheetId="1" hidden="1">'MRO P&amp;L 2022'!$F$16</definedName>
    <definedName name="QB_ROW_58250" localSheetId="1" hidden="1">'MRO P&amp;L 2022'!#REF!</definedName>
    <definedName name="QB_ROW_58340" localSheetId="1" hidden="1">'MRO P&amp;L 2022'!$F$31</definedName>
    <definedName name="QB_ROW_59250" localSheetId="1" hidden="1">'MRO P&amp;L 2022'!$G$17</definedName>
    <definedName name="QB_ROW_60250" localSheetId="1" hidden="1">'MRO P&amp;L 2022'!$G$18</definedName>
    <definedName name="QB_ROW_61250" localSheetId="1" hidden="1">'MRO P&amp;L 2022'!$G$19</definedName>
    <definedName name="QB_ROW_62250" localSheetId="1" hidden="1">'MRO P&amp;L 2022'!$G$20</definedName>
    <definedName name="QB_ROW_63250" localSheetId="1" hidden="1">'MRO P&amp;L 2022'!$G$21</definedName>
    <definedName name="QB_ROW_64250" localSheetId="1" hidden="1">'MRO P&amp;L 2022'!$G$22</definedName>
    <definedName name="QB_ROW_65250" localSheetId="1" hidden="1">'MRO P&amp;L 2022'!$G$23</definedName>
    <definedName name="QB_ROW_66250" localSheetId="1" hidden="1">'MRO P&amp;L 2022'!$G$24</definedName>
    <definedName name="QB_ROW_67250" localSheetId="1" hidden="1">'MRO P&amp;L 2022'!#REF!</definedName>
    <definedName name="QB_ROW_68250" localSheetId="1" hidden="1">'MRO P&amp;L 2022'!$G$26</definedName>
    <definedName name="QB_ROW_69250" localSheetId="1" hidden="1">'MRO P&amp;L 2022'!$G$27</definedName>
    <definedName name="QB_ROW_70250" localSheetId="1" hidden="1">'MRO P&amp;L 2022'!$G$28</definedName>
    <definedName name="QB_ROW_71250" localSheetId="1" hidden="1">'MRO P&amp;L 2022'!$G$29</definedName>
    <definedName name="QB_ROW_72250" localSheetId="1" hidden="1">'MRO P&amp;L 2022'!$G$30</definedName>
    <definedName name="QB_ROW_73040" localSheetId="1" hidden="1">'MRO P&amp;L 2022'!$F$32</definedName>
    <definedName name="QB_ROW_73340" localSheetId="1" hidden="1">'MRO P&amp;L 2022'!$F$36</definedName>
    <definedName name="QB_ROW_74250" localSheetId="1" hidden="1">'MRO P&amp;L 2022'!$G$33</definedName>
    <definedName name="QB_ROW_75250" localSheetId="1" hidden="1">'MRO P&amp;L 2022'!$G$34</definedName>
    <definedName name="QB_ROW_76250" localSheetId="1" hidden="1">'MRO P&amp;L 2022'!$G$35</definedName>
    <definedName name="QB_ROW_77250" localSheetId="1" hidden="1">'MRO P&amp;L 2022'!#REF!</definedName>
    <definedName name="QB_ROW_78040" localSheetId="1" hidden="1">'MRO P&amp;L 2022'!$F$37</definedName>
    <definedName name="QB_ROW_78340" localSheetId="1" hidden="1">'MRO P&amp;L 2022'!$F$45</definedName>
    <definedName name="QB_ROW_79250" localSheetId="1" hidden="1">'MRO P&amp;L 2022'!$G$38</definedName>
    <definedName name="QB_ROW_80250" localSheetId="1" hidden="1">'MRO P&amp;L 2022'!$G$39</definedName>
    <definedName name="QB_ROW_82250" localSheetId="1" hidden="1">'MRO P&amp;L 2022'!#REF!</definedName>
    <definedName name="QB_ROW_83250" localSheetId="1" hidden="1">'MRO P&amp;L 2022'!#REF!</definedName>
    <definedName name="QB_ROW_84250" localSheetId="1" hidden="1">'MRO P&amp;L 2022'!$G$41</definedName>
    <definedName name="QB_ROW_85250" localSheetId="1" hidden="1">'MRO P&amp;L 2022'!$G$42</definedName>
    <definedName name="QB_ROW_86250" localSheetId="1" hidden="1">'MRO P&amp;L 2022'!$G$44</definedName>
    <definedName name="QB_ROW_86311" localSheetId="1" hidden="1">'MRO P&amp;L 2022'!$C$13</definedName>
    <definedName name="QB_ROW_87040" localSheetId="1" hidden="1">'MRO P&amp;L 2022'!$F$46</definedName>
    <definedName name="QB_ROW_87340" localSheetId="1" hidden="1">'MRO P&amp;L 2022'!$F$53</definedName>
    <definedName name="QB_ROW_88250" localSheetId="1" hidden="1">'MRO P&amp;L 2022'!$G$47</definedName>
    <definedName name="QB_ROW_89250" localSheetId="1" hidden="1">'MRO P&amp;L 2022'!$G$48</definedName>
    <definedName name="QB_ROW_90250" localSheetId="1" hidden="1">'MRO P&amp;L 2022'!$G$49</definedName>
    <definedName name="QB_ROW_91250" localSheetId="1" hidden="1">'MRO P&amp;L 2022'!$G$50</definedName>
    <definedName name="QB_ROW_92250" localSheetId="1" hidden="1">'MRO P&amp;L 2022'!$G$51</definedName>
    <definedName name="QB_ROW_93250" localSheetId="1" hidden="1">'MRO P&amp;L 2022'!$G$52</definedName>
    <definedName name="QB_ROW_94040" localSheetId="1" hidden="1">'MRO P&amp;L 2022'!$F$54</definedName>
    <definedName name="QB_ROW_94340" localSheetId="1" hidden="1">'MRO P&amp;L 2022'!$F$64</definedName>
    <definedName name="QB_ROW_95250" localSheetId="1" hidden="1">'MRO P&amp;L 2022'!$G$55</definedName>
    <definedName name="QB_ROW_96250" localSheetId="1" hidden="1">'MRO P&amp;L 2022'!$G$56</definedName>
    <definedName name="QB_ROW_97250" localSheetId="1" hidden="1">'MRO P&amp;L 2022'!$G$57</definedName>
    <definedName name="QB_ROW_98250" localSheetId="1" hidden="1">'MRO P&amp;L 2022'!$G$58</definedName>
    <definedName name="QB_ROW_99250" localSheetId="1" hidden="1">'MRO P&amp;L 2022'!$G$59</definedName>
    <definedName name="QBCANSUPPORTUPDATE" localSheetId="1">TRUE</definedName>
    <definedName name="QBCOMPANYFILENAME" localSheetId="1">"E:\Quickbooks Share\Mlup Russey NGO 2019  QBW.QBW"</definedName>
    <definedName name="QBENDDATE" localSheetId="1">20191231</definedName>
    <definedName name="QBHEADERSONSCREEN" localSheetId="1">FALSE</definedName>
    <definedName name="QBMETADATASIZE" localSheetId="1">5892</definedName>
    <definedName name="QBPRESERVECOLOR" localSheetId="1">TRUE</definedName>
    <definedName name="QBPRESERVEFONT" localSheetId="1">TRUE</definedName>
    <definedName name="QBPRESERVEROWHEIGHT" localSheetId="1">TRUE</definedName>
    <definedName name="QBPRESERVESPACE" localSheetId="1">TRUE</definedName>
    <definedName name="QBREPORTCOLAXIS" localSheetId="1">13</definedName>
    <definedName name="QBREPORTCOMPANYID" localSheetId="1">"bf313eaa29414c7286933a5e0eea20fd"</definedName>
    <definedName name="QBREPORTCOMPARECOL_ANNUALBUDGET" localSheetId="1">FALSE</definedName>
    <definedName name="QBREPORTCOMPARECOL_AVGCOGS" localSheetId="1">FALSE</definedName>
    <definedName name="QBREPORTCOMPARECOL_AVGPRICE" localSheetId="1">FALSE</definedName>
    <definedName name="QBREPORTCOMPARECOL_BUDDIFF" localSheetId="1">FALSE</definedName>
    <definedName name="QBREPORTCOMPARECOL_BUDGET" localSheetId="1">FALSE</definedName>
    <definedName name="QBREPORTCOMPARECOL_BUDPCT" localSheetId="1">FALSE</definedName>
    <definedName name="QBREPORTCOMPARECOL_COGS" localSheetId="1">FALSE</definedName>
    <definedName name="QBREPORTCOMPARECOL_EXCLUDEAMOUNT" localSheetId="1">FALSE</definedName>
    <definedName name="QBREPORTCOMPARECOL_EXCLUDECURPERIOD" localSheetId="1">FALSE</definedName>
    <definedName name="QBREPORTCOMPARECOL_FORECAST" localSheetId="1">FALSE</definedName>
    <definedName name="QBREPORTCOMPARECOL_GROSSMARGIN" localSheetId="1">FALSE</definedName>
    <definedName name="QBREPORTCOMPARECOL_GROSSMARGINPCT" localSheetId="1">FALSE</definedName>
    <definedName name="QBREPORTCOMPARECOL_HOURS" localSheetId="1">FALSE</definedName>
    <definedName name="QBREPORTCOMPARECOL_PCTCOL" localSheetId="1">FALSE</definedName>
    <definedName name="QBREPORTCOMPARECOL_PCTEXPENSE" localSheetId="1">FALSE</definedName>
    <definedName name="QBREPORTCOMPARECOL_PCTINCOME" localSheetId="1">FALSE</definedName>
    <definedName name="QBREPORTCOMPARECOL_PCTOFSALES" localSheetId="1">FALSE</definedName>
    <definedName name="QBREPORTCOMPARECOL_PCTROW" localSheetId="1">FALSE</definedName>
    <definedName name="QBREPORTCOMPARECOL_PPDIFF" localSheetId="1">FALSE</definedName>
    <definedName name="QBREPORTCOMPARECOL_PPPCT" localSheetId="1">FALSE</definedName>
    <definedName name="QBREPORTCOMPARECOL_PREVPERIOD" localSheetId="1">FALSE</definedName>
    <definedName name="QBREPORTCOMPARECOL_PREVYEAR" localSheetId="1">FALSE</definedName>
    <definedName name="QBREPORTCOMPARECOL_PYDIFF" localSheetId="1">FALSE</definedName>
    <definedName name="QBREPORTCOMPARECOL_PYPCT" localSheetId="1">FALSE</definedName>
    <definedName name="QBREPORTCOMPARECOL_QTY" localSheetId="1">FALSE</definedName>
    <definedName name="QBREPORTCOMPARECOL_RATE" localSheetId="1">FALSE</definedName>
    <definedName name="QBREPORTCOMPARECOL_TRIPBILLEDMILES" localSheetId="1">FALSE</definedName>
    <definedName name="QBREPORTCOMPARECOL_TRIPBILLINGAMOUNT" localSheetId="1">FALSE</definedName>
    <definedName name="QBREPORTCOMPARECOL_TRIPMILES" localSheetId="1">FALSE</definedName>
    <definedName name="QBREPORTCOMPARECOL_TRIPNOTBILLABLEMILES" localSheetId="1">FALSE</definedName>
    <definedName name="QBREPORTCOMPARECOL_TRIPTAXDEDUCTIBLEAMOUNT" localSheetId="1">FALSE</definedName>
    <definedName name="QBREPORTCOMPARECOL_TRIPUNBILLEDMILES" localSheetId="1">FALSE</definedName>
    <definedName name="QBREPORTCOMPARECOL_YTD" localSheetId="1">FALSE</definedName>
    <definedName name="QBREPORTCOMPARECOL_YTDBUDGET" localSheetId="1">FALSE</definedName>
    <definedName name="QBREPORTCOMPARECOL_YTDPCT" localSheetId="1">FALSE</definedName>
    <definedName name="QBREPORTROWAXIS" localSheetId="1">11</definedName>
    <definedName name="QBREPORTSUBCOLAXIS" localSheetId="1">0</definedName>
    <definedName name="QBREPORTTYPE" localSheetId="1">2</definedName>
    <definedName name="QBROWHEADERS" localSheetId="1">6</definedName>
    <definedName name="QBSTARTDATE" localSheetId="1">20190101</definedName>
    <definedName name="QTDSUM" localSheetId="6">#REF!</definedName>
    <definedName name="QTDSUM">#REF!</definedName>
    <definedName name="Query1" localSheetId="6">#REF!</definedName>
    <definedName name="Query1">#REF!</definedName>
    <definedName name="R_Base">'[14]Base Salary'!$A$5:$N$62</definedName>
    <definedName name="R_BonTax">[14]BonusesTax!$A$5:$N$62</definedName>
    <definedName name="R_Catchup">[14]Catchup!$A$5:$N$64</definedName>
    <definedName name="R_Employees">[15]Employees!$A$3:$G$60</definedName>
    <definedName name="R_EmpOrConsultant">[14]EmpOrContractor!$A$5:$N$62</definedName>
    <definedName name="R_Excess">[14]ExcessLeave!$A$5:$N$62</definedName>
    <definedName name="R_SelMonthIdx">[14]Date!$F$2</definedName>
    <definedName name="RawAgencyPrice" localSheetId="6">#REF!</definedName>
    <definedName name="RawAgencyPrice">#REF!</definedName>
    <definedName name="RBData" localSheetId="6">#REF!</definedName>
    <definedName name="RBData">#REF!</definedName>
    <definedName name="RECCANACC" localSheetId="6">#REF!</definedName>
    <definedName name="RECCANACC">#REF!</definedName>
    <definedName name="RECEXACC" localSheetId="6">#REF!</definedName>
    <definedName name="RECEXACC">#REF!</definedName>
    <definedName name="RECINACC" localSheetId="6">#REF!</definedName>
    <definedName name="RECINACC">#REF!</definedName>
    <definedName name="RedemptionDates" localSheetId="6">#REF!</definedName>
    <definedName name="RedemptionDates">#REF!</definedName>
    <definedName name="Replacementcapex" localSheetId="6">#REF!</definedName>
    <definedName name="Replacementcapex">#REF!</definedName>
    <definedName name="Report" localSheetId="6">#REF!</definedName>
    <definedName name="Report">#REF!</definedName>
    <definedName name="ReportPrint" localSheetId="6">#REF!</definedName>
    <definedName name="ReportPrint">#REF!</definedName>
    <definedName name="ReqdIRR" localSheetId="6">#REF!</definedName>
    <definedName name="ReqdIRR">#REF!</definedName>
    <definedName name="Reselects" localSheetId="6">#REF!</definedName>
    <definedName name="Reselects">#REF!</definedName>
    <definedName name="result" localSheetId="6">#REF!</definedName>
    <definedName name="result">#REF!</definedName>
    <definedName name="result1" localSheetId="6">#REF!</definedName>
    <definedName name="result1">#REF!</definedName>
    <definedName name="result2" localSheetId="6">#REF!</definedName>
    <definedName name="result2">#REF!</definedName>
    <definedName name="returnprov" localSheetId="6">#REF!</definedName>
    <definedName name="returnprov">#REF!</definedName>
    <definedName name="returns_prov" localSheetId="6">#REF!</definedName>
    <definedName name="returns_prov">#REF!</definedName>
    <definedName name="REVACC" localSheetId="6">#REF!</definedName>
    <definedName name="REVACC">#REF!</definedName>
    <definedName name="Revenuegrowth" localSheetId="6">#REF!</definedName>
    <definedName name="Revenuegrowth">#REF!</definedName>
    <definedName name="Revgrowth1" localSheetId="6">#REF!</definedName>
    <definedName name="Revgrowth1">#REF!</definedName>
    <definedName name="Revgrowth2" localSheetId="6">#REF!</definedName>
    <definedName name="Revgrowth2">#REF!</definedName>
    <definedName name="REVPER" localSheetId="6">#REF!</definedName>
    <definedName name="REVPER">#REF!</definedName>
    <definedName name="SALESPLAN" localSheetId="6">#REF!</definedName>
    <definedName name="SALESPLAN">#REF!</definedName>
    <definedName name="SALESPROJ" localSheetId="6">#REF!</definedName>
    <definedName name="SALESPROJ">#REF!</definedName>
    <definedName name="salesvar" localSheetId="6">#REF!,#REF!,#REF!,#REF!,#REF!,#REF!,#REF!,#REF!,#REF!</definedName>
    <definedName name="salesvar">#REF!,#REF!,#REF!,#REF!,#REF!,#REF!,#REF!,#REF!,#REF!</definedName>
    <definedName name="SalSch" localSheetId="6">#REF!</definedName>
    <definedName name="SalSch">#REF!</definedName>
    <definedName name="satax" localSheetId="6">#REF!</definedName>
    <definedName name="satax">#REF!</definedName>
    <definedName name="Scenario_Name" localSheetId="6">#REF!</definedName>
    <definedName name="Scenario_Name">#REF!</definedName>
    <definedName name="seasonality" localSheetId="6">#REF!</definedName>
    <definedName name="seasonality">#REF!</definedName>
    <definedName name="Spec" localSheetId="6">'[11]P&amp;L'!#REF!</definedName>
    <definedName name="Spec">'[11]P&amp;L'!#REF!</definedName>
    <definedName name="ss" hidden="1">{#N/A,#N/A,FALSE,"Sub-Mekong";#N/A,#N/A,FALSE,"IB";#N/A,#N/A,FALSE,"CB";#N/A,#N/A,FALSE,"CIB";#N/A,#N/A,FALSE,"Tsy - seg";#N/A,#N/A,FALSE,"Fin";#N/A,#N/A,FALSE,"CEO";#N/A,#N/A,FALSE,"VN"}</definedName>
    <definedName name="sss" hidden="1">{#N/A,#N/A,FALSE,"P&amp;LVIETNAM";#N/A,#N/A,FALSE,"P&amp;L summary";#N/A,#N/A,FALSE,"Treasury";#N/A,#N/A,FALSE,"CB";#N/A,#N/A,FALSE,"CEO ";#N/A,#N/A,FALSE,"IBG";#N/A,#N/A,FALSE,"FIN";#N/A,#N/A,FALSE,"BS97"}</definedName>
    <definedName name="STOREMISC" localSheetId="6">#REF!,#REF!,#REF!,#REF!,#REF!,#REF!</definedName>
    <definedName name="STOREMISC">#REF!,#REF!,#REF!,#REF!,#REF!,#REF!</definedName>
    <definedName name="storerates" localSheetId="6">#REF!,#REF!</definedName>
    <definedName name="storerates">#REF!,#REF!</definedName>
    <definedName name="storerent" localSheetId="6">#REF!,#REF!,#REF!</definedName>
    <definedName name="storerent">#REF!,#REF!,#REF!</definedName>
    <definedName name="STOREVAR1" localSheetId="6">#REF!,#REF!,#REF!,#REF!,#REF!,#REF!,#REF!</definedName>
    <definedName name="STOREVAR1">#REF!,#REF!,#REF!,#REF!,#REF!,#REF!,#REF!</definedName>
    <definedName name="STOREVAR2" localSheetId="6">#REF!,#REF!,#REF!,#REF!,#REF!</definedName>
    <definedName name="STOREVAR2">#REF!,#REF!,#REF!,#REF!,#REF!</definedName>
    <definedName name="STOREVAR3" localSheetId="6">#REF!,#REF!,#REF!,#REF!,#REF!,#REF!,#REF!,#REF!,#REF!</definedName>
    <definedName name="STOREVAR3">#REF!,#REF!,#REF!,#REF!,#REF!,#REF!,#REF!,#REF!,#REF!</definedName>
    <definedName name="summary" localSheetId="6">#REF!</definedName>
    <definedName name="summary">#REF!</definedName>
    <definedName name="SundryIncome" localSheetId="6">#REF!</definedName>
    <definedName name="SundryIncome">#REF!</definedName>
    <definedName name="Table1" localSheetId="6">#REF!</definedName>
    <definedName name="Table1">#REF!</definedName>
    <definedName name="TAX_COMPUTATION" localSheetId="6">#REF!</definedName>
    <definedName name="TAX_COMPUTATION">#REF!</definedName>
    <definedName name="TaxTV">10%</definedName>
    <definedName name="TaxXL">5%</definedName>
    <definedName name="Terminal_Valuation_of_equity" localSheetId="6">#REF!</definedName>
    <definedName name="Terminal_Valuation_of_equity">#REF!</definedName>
    <definedName name="TEST" localSheetId="6">#REF!</definedName>
    <definedName name="TEST">#REF!</definedName>
    <definedName name="TEST0" localSheetId="6">#REF!</definedName>
    <definedName name="TEST0">#REF!</definedName>
    <definedName name="TESTHKEY" localSheetId="6">#REF!</definedName>
    <definedName name="TESTHKEY">#REF!</definedName>
    <definedName name="TESTKEYS" localSheetId="6">#REF!</definedName>
    <definedName name="TESTKEYS">#REF!</definedName>
    <definedName name="TESTVKEY" localSheetId="6">#REF!</definedName>
    <definedName name="TESTVKEY">#REF!</definedName>
    <definedName name="tf" hidden="1">{#N/A,#N/A,FALSE,"P&amp;LVIETNAM";#N/A,#N/A,FALSE,"P&amp;L summary";#N/A,#N/A,FALSE,"Treasury";#N/A,#N/A,FALSE,"CB";#N/A,#N/A,FALSE,"CEO ";#N/A,#N/A,FALSE,"IBG";#N/A,#N/A,FALSE,"FIN";#N/A,#N/A,FALSE,"BS97"}</definedName>
    <definedName name="VALUE" localSheetId="6">#REF!</definedName>
    <definedName name="VALUE">#REF!</definedName>
    <definedName name="Where_to_Receive_Payment">[10]Data!$D$2:$D$22</definedName>
    <definedName name="wht" hidden="1">{#N/A,#N/A,FALSE,"P&amp;LVIETNAM";#N/A,#N/A,FALSE,"P&amp;L summary";#N/A,#N/A,FALSE,"Treasury";#N/A,#N/A,FALSE,"CB";#N/A,#N/A,FALSE,"CEO ";#N/A,#N/A,FALSE,"IBG";#N/A,#N/A,FALSE,"FIN";#N/A,#N/A,FALSE,"BS97"}</definedName>
    <definedName name="Whwork" localSheetId="6">#REF!,#REF!</definedName>
    <definedName name="Whwork">#REF!,#REF!</definedName>
    <definedName name="workings" localSheetId="6">#REF!</definedName>
    <definedName name="workings">#REF!</definedName>
    <definedName name="wrn.budget." hidden="1">{#N/A,#N/A,FALSE,"P&amp;LVIETNAM";#N/A,#N/A,FALSE,"P&amp;L summary";#N/A,#N/A,FALSE,"Treasury";#N/A,#N/A,FALSE,"CB";#N/A,#N/A,FALSE,"CEO ";#N/A,#N/A,FALSE,"IBG";#N/A,#N/A,FALSE,"FIN";#N/A,#N/A,FALSE,"BS97"}</definedName>
    <definedName name="wrn.hanh." hidden="1">{#N/A,#N/A,FALSE,"P&amp;LVN H2";#N/A,#N/A,FALSE,"P&amp;LVIETNAM";#N/A,#N/A,FALSE,"P&amp;LVN H1";#N/A,#N/A,FALSE,"P&amp;L summary";#N/A,#N/A,FALSE,"CB";#N/A,#N/A,FALSE,"CEO ";#N/A,#N/A,FALSE,"Treasury";#N/A,#N/A,FALSE,"IBG";#N/A,#N/A,FALSE,"FIN";#N/A,#N/A,FALSE,"INDO";#N/A,#N/A,FALSE,"BS97"}</definedName>
    <definedName name="wrn.SEGMENT." hidden="1">{#N/A,#N/A,FALSE,"Sub-Mekong";#N/A,#N/A,FALSE,"IB";#N/A,#N/A,FALSE,"CB";#N/A,#N/A,FALSE,"CIB";#N/A,#N/A,FALSE,"Tsy - seg";#N/A,#N/A,FALSE,"Fin";#N/A,#N/A,FALSE,"CEO";#N/A,#N/A,FALSE,"VN"}</definedName>
    <definedName name="XXX" localSheetId="6">#REF!</definedName>
    <definedName name="XXX">#REF!</definedName>
    <definedName name="YearEnd" localSheetId="6">#REF!</definedName>
    <definedName name="YearEnd">#REF!</definedName>
    <definedName name="yield" localSheetId="6">#REF!</definedName>
    <definedName name="yield">#REF!</definedName>
    <definedName name="YTDSUM" localSheetId="6">#REF!</definedName>
    <definedName name="YTDSUM">#REF!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0" i="16" l="1"/>
  <c r="G57" i="16" s="1"/>
  <c r="G11" i="16"/>
  <c r="G12" i="16"/>
  <c r="G13" i="16"/>
  <c r="G16" i="16"/>
  <c r="G17" i="16"/>
  <c r="G18" i="16"/>
  <c r="F7" i="16"/>
  <c r="F8" i="16"/>
  <c r="F9" i="16"/>
  <c r="F15" i="16"/>
  <c r="F19" i="16"/>
  <c r="F20" i="16"/>
  <c r="F21" i="16"/>
  <c r="F22" i="16"/>
  <c r="F23" i="16"/>
  <c r="F24" i="16"/>
  <c r="F25" i="16"/>
  <c r="F26" i="16"/>
  <c r="F27" i="16"/>
  <c r="F28" i="16"/>
  <c r="F29" i="16"/>
  <c r="F30" i="16"/>
  <c r="F31" i="16"/>
  <c r="F32" i="16"/>
  <c r="F33" i="16"/>
  <c r="F34" i="16"/>
  <c r="F35" i="16"/>
  <c r="F36" i="16"/>
  <c r="F37" i="16"/>
  <c r="F38" i="16"/>
  <c r="F39" i="16"/>
  <c r="F40" i="16"/>
  <c r="F41" i="16"/>
  <c r="F42" i="16"/>
  <c r="F43" i="16"/>
  <c r="F44" i="16"/>
  <c r="F45" i="16"/>
  <c r="F46" i="16"/>
  <c r="F47" i="16"/>
  <c r="F48" i="16"/>
  <c r="F49" i="16"/>
  <c r="F50" i="16"/>
  <c r="F51" i="16"/>
  <c r="F52" i="16"/>
  <c r="F53" i="16"/>
  <c r="F54" i="16"/>
  <c r="F55" i="16"/>
  <c r="F56" i="16"/>
  <c r="F6" i="16"/>
  <c r="F57" i="16" s="1"/>
  <c r="D24" i="15"/>
  <c r="H24" i="15" s="1"/>
  <c r="D25" i="15"/>
  <c r="H25" i="15" s="1"/>
  <c r="C25" i="15"/>
  <c r="C24" i="15"/>
  <c r="D17" i="15"/>
  <c r="H17" i="15" s="1"/>
  <c r="D18" i="15"/>
  <c r="H18" i="15" s="1"/>
  <c r="D19" i="15"/>
  <c r="H19" i="15" s="1"/>
  <c r="D20" i="15"/>
  <c r="H20" i="15" s="1"/>
  <c r="D16" i="15"/>
  <c r="H16" i="15" s="1"/>
  <c r="C17" i="15"/>
  <c r="C18" i="15"/>
  <c r="C19" i="15"/>
  <c r="C20" i="15"/>
  <c r="C16" i="15"/>
  <c r="D9" i="15"/>
  <c r="H9" i="15" s="1"/>
  <c r="D10" i="15"/>
  <c r="H10" i="15" s="1"/>
  <c r="D11" i="15"/>
  <c r="H11" i="15" s="1"/>
  <c r="D8" i="15"/>
  <c r="H8" i="15" s="1"/>
  <c r="C9" i="15"/>
  <c r="C10" i="15"/>
  <c r="C11" i="15"/>
  <c r="C8" i="15"/>
  <c r="C56" i="16"/>
  <c r="C55" i="16"/>
  <c r="C54" i="16"/>
  <c r="D56" i="14" s="1"/>
  <c r="H56" i="14" s="1"/>
  <c r="C53" i="16"/>
  <c r="D61" i="14" s="1"/>
  <c r="E62" i="14" s="1"/>
  <c r="C52" i="16"/>
  <c r="C51" i="16"/>
  <c r="C50" i="16"/>
  <c r="C49" i="16"/>
  <c r="C48" i="16"/>
  <c r="C47" i="16"/>
  <c r="C46" i="16"/>
  <c r="C45" i="16"/>
  <c r="C44" i="16"/>
  <c r="C43" i="16"/>
  <c r="C42" i="16"/>
  <c r="C41" i="16"/>
  <c r="C40" i="16"/>
  <c r="C39" i="16"/>
  <c r="C38" i="16"/>
  <c r="C37" i="16"/>
  <c r="C36" i="16"/>
  <c r="C35" i="16"/>
  <c r="C34" i="16"/>
  <c r="C33" i="16"/>
  <c r="C32" i="16"/>
  <c r="C31" i="16"/>
  <c r="C30" i="16"/>
  <c r="C29" i="16"/>
  <c r="C28" i="16"/>
  <c r="C27" i="16"/>
  <c r="C26" i="16"/>
  <c r="C25" i="16"/>
  <c r="C24" i="16"/>
  <c r="C23" i="16"/>
  <c r="C22" i="16"/>
  <c r="D15" i="14" s="1"/>
  <c r="H15" i="14" s="1"/>
  <c r="C21" i="16"/>
  <c r="D14" i="14" s="1"/>
  <c r="H14" i="14" s="1"/>
  <c r="C20" i="16"/>
  <c r="C19" i="16"/>
  <c r="D18" i="16"/>
  <c r="D17" i="16"/>
  <c r="D16" i="16"/>
  <c r="C15" i="16"/>
  <c r="D14" i="16"/>
  <c r="D13" i="16"/>
  <c r="D12" i="16"/>
  <c r="D11" i="16"/>
  <c r="D10" i="16"/>
  <c r="D57" i="16" s="1"/>
  <c r="C9" i="16"/>
  <c r="C8" i="16"/>
  <c r="C7" i="16"/>
  <c r="C6" i="16"/>
  <c r="C57" i="16" s="1"/>
  <c r="C58" i="14"/>
  <c r="D58" i="14"/>
  <c r="H58" i="14" s="1"/>
  <c r="D57" i="14"/>
  <c r="H57" i="14" s="1"/>
  <c r="D53" i="14"/>
  <c r="H53" i="14" s="1"/>
  <c r="D52" i="14"/>
  <c r="H52" i="14" s="1"/>
  <c r="D51" i="14"/>
  <c r="H51" i="14" s="1"/>
  <c r="D50" i="14"/>
  <c r="H50" i="14" s="1"/>
  <c r="D49" i="14"/>
  <c r="H49" i="14" s="1"/>
  <c r="D46" i="14"/>
  <c r="H46" i="14" s="1"/>
  <c r="D45" i="14"/>
  <c r="H45" i="14" s="1"/>
  <c r="D44" i="14"/>
  <c r="H44" i="14" s="1"/>
  <c r="D41" i="14"/>
  <c r="H41" i="14" s="1"/>
  <c r="D40" i="14"/>
  <c r="H40" i="14" s="1"/>
  <c r="D39" i="14"/>
  <c r="H39" i="14" s="1"/>
  <c r="D38" i="14"/>
  <c r="H38" i="14" s="1"/>
  <c r="D37" i="14"/>
  <c r="H37" i="14" s="1"/>
  <c r="D34" i="14"/>
  <c r="H34" i="14" s="1"/>
  <c r="D33" i="14"/>
  <c r="H33" i="14" s="1"/>
  <c r="D32" i="14"/>
  <c r="E91" i="10" s="1"/>
  <c r="D31" i="14"/>
  <c r="H31" i="14" s="1"/>
  <c r="D30" i="14"/>
  <c r="H30" i="14" s="1"/>
  <c r="D29" i="14"/>
  <c r="H29" i="14" s="1"/>
  <c r="D28" i="14"/>
  <c r="H28" i="14" s="1"/>
  <c r="D27" i="14"/>
  <c r="H27" i="14" s="1"/>
  <c r="D26" i="14"/>
  <c r="H26" i="14" s="1"/>
  <c r="D25" i="14"/>
  <c r="H25" i="14" s="1"/>
  <c r="D24" i="14"/>
  <c r="H24" i="14" s="1"/>
  <c r="D23" i="14"/>
  <c r="H23" i="14" s="1"/>
  <c r="D22" i="14"/>
  <c r="H22" i="14" s="1"/>
  <c r="D21" i="14"/>
  <c r="H21" i="14" s="1"/>
  <c r="D13" i="14"/>
  <c r="H13" i="14" s="1"/>
  <c r="D16" i="14"/>
  <c r="H16" i="14" s="1"/>
  <c r="D17" i="14"/>
  <c r="H17" i="14" s="1"/>
  <c r="D18" i="14"/>
  <c r="H18" i="14" s="1"/>
  <c r="D12" i="14"/>
  <c r="H12" i="14" s="1"/>
  <c r="D7" i="14"/>
  <c r="H7" i="14" s="1"/>
  <c r="D6" i="14"/>
  <c r="H6" i="14" s="1"/>
  <c r="C61" i="14"/>
  <c r="C57" i="14"/>
  <c r="C56" i="14"/>
  <c r="C53" i="14"/>
  <c r="C52" i="14"/>
  <c r="C51" i="14"/>
  <c r="C50" i="14"/>
  <c r="C49" i="14"/>
  <c r="C46" i="14"/>
  <c r="C45" i="14"/>
  <c r="C44" i="14"/>
  <c r="C41" i="14"/>
  <c r="C40" i="14"/>
  <c r="C39" i="14"/>
  <c r="C38" i="14"/>
  <c r="C37" i="14"/>
  <c r="C34" i="14"/>
  <c r="C33" i="14"/>
  <c r="C32" i="14"/>
  <c r="C31" i="14"/>
  <c r="C30" i="14"/>
  <c r="C29" i="14"/>
  <c r="C28" i="14"/>
  <c r="C27" i="14"/>
  <c r="C26" i="14"/>
  <c r="C25" i="14"/>
  <c r="C24" i="14"/>
  <c r="C23" i="14"/>
  <c r="C22" i="14"/>
  <c r="C21" i="14"/>
  <c r="C18" i="14"/>
  <c r="C17" i="14"/>
  <c r="C16" i="14"/>
  <c r="C15" i="14"/>
  <c r="C14" i="14"/>
  <c r="C13" i="14"/>
  <c r="C12" i="14"/>
  <c r="C7" i="14"/>
  <c r="C6" i="14"/>
  <c r="E103" i="10"/>
  <c r="E104" i="10"/>
  <c r="F71" i="10"/>
  <c r="F105" i="10"/>
  <c r="F104" i="10"/>
  <c r="E99" i="10"/>
  <c r="E98" i="10"/>
  <c r="E97" i="10"/>
  <c r="E96" i="10"/>
  <c r="E95" i="10"/>
  <c r="E94" i="10"/>
  <c r="E93" i="10"/>
  <c r="E89" i="10"/>
  <c r="E88" i="10"/>
  <c r="E80" i="10"/>
  <c r="I21" i="15" l="1"/>
  <c r="E21" i="15"/>
  <c r="I19" i="14"/>
  <c r="I42" i="14"/>
  <c r="I47" i="14"/>
  <c r="E90" i="10"/>
  <c r="I59" i="14"/>
  <c r="I54" i="14"/>
  <c r="H32" i="14"/>
  <c r="I35" i="14" s="1"/>
  <c r="H61" i="14"/>
  <c r="I62" i="14" s="1"/>
  <c r="D8" i="14"/>
  <c r="E59" i="14"/>
  <c r="E19" i="14"/>
  <c r="E47" i="14"/>
  <c r="E35" i="14"/>
  <c r="E42" i="14"/>
  <c r="E54" i="14"/>
  <c r="E12" i="15"/>
  <c r="I12" i="15" s="1"/>
  <c r="J13" i="15" s="1"/>
  <c r="F70" i="10"/>
  <c r="E70" i="10"/>
  <c r="G70" i="10" s="1"/>
  <c r="F69" i="10"/>
  <c r="E69" i="10"/>
  <c r="G69" i="10" s="1"/>
  <c r="F68" i="10"/>
  <c r="E68" i="10"/>
  <c r="G68" i="10" s="1"/>
  <c r="G52" i="10"/>
  <c r="D52" i="10"/>
  <c r="F52" i="10" s="1"/>
  <c r="D27" i="10"/>
  <c r="F27" i="10" s="1"/>
  <c r="G27" i="10"/>
  <c r="E102" i="10"/>
  <c r="E79" i="10"/>
  <c r="E78" i="10"/>
  <c r="E77" i="10"/>
  <c r="E76" i="10"/>
  <c r="E75" i="10"/>
  <c r="E74" i="10"/>
  <c r="E73" i="10"/>
  <c r="E65" i="10"/>
  <c r="E64" i="10"/>
  <c r="E63" i="10"/>
  <c r="E62" i="10"/>
  <c r="E61" i="10"/>
  <c r="E60" i="10"/>
  <c r="D57" i="10"/>
  <c r="D56" i="10"/>
  <c r="D55" i="10"/>
  <c r="D54" i="10"/>
  <c r="D53" i="10"/>
  <c r="D50" i="10"/>
  <c r="D49" i="10"/>
  <c r="D48" i="10"/>
  <c r="D46" i="10"/>
  <c r="D45" i="10"/>
  <c r="D44" i="10"/>
  <c r="D43" i="10"/>
  <c r="D39" i="10"/>
  <c r="D38" i="10"/>
  <c r="D37" i="10"/>
  <c r="D36" i="10"/>
  <c r="D35" i="10"/>
  <c r="D32" i="10"/>
  <c r="D31" i="10"/>
  <c r="D29" i="10"/>
  <c r="D28" i="10"/>
  <c r="D25" i="10"/>
  <c r="D24" i="10"/>
  <c r="D23" i="10"/>
  <c r="D22" i="10"/>
  <c r="D21" i="10"/>
  <c r="D20" i="10"/>
  <c r="D19" i="10"/>
  <c r="D17" i="10"/>
  <c r="D16" i="10"/>
  <c r="D15" i="10"/>
  <c r="D14" i="10"/>
  <c r="D13" i="10"/>
  <c r="D12" i="10"/>
  <c r="D11" i="10"/>
  <c r="D10" i="10"/>
  <c r="D9" i="10"/>
  <c r="D8" i="10"/>
  <c r="D7" i="10"/>
  <c r="I63" i="14" l="1"/>
  <c r="F9" i="14"/>
  <c r="H8" i="14"/>
  <c r="J8" i="14" s="1"/>
  <c r="J65" i="14" s="1"/>
  <c r="F63" i="14"/>
  <c r="E67" i="10"/>
  <c r="D40" i="10"/>
  <c r="E85" i="10"/>
  <c r="E86" i="10"/>
  <c r="E87" i="10"/>
  <c r="E83" i="10" l="1"/>
  <c r="E82" i="10"/>
  <c r="E84" i="10"/>
  <c r="E100" i="10"/>
  <c r="E72" i="10"/>
  <c r="E92" i="10"/>
  <c r="D30" i="10"/>
  <c r="D51" i="10"/>
  <c r="D26" i="10"/>
  <c r="F13" i="15"/>
  <c r="F65" i="14" l="1"/>
  <c r="D23" i="15" s="1"/>
  <c r="H23" i="15" s="1"/>
  <c r="D41" i="10" l="1"/>
  <c r="E26" i="15"/>
  <c r="I106" i="8"/>
  <c r="I105" i="8"/>
  <c r="I104" i="8"/>
  <c r="I103" i="8"/>
  <c r="I102" i="8"/>
  <c r="I99" i="8"/>
  <c r="I98" i="8"/>
  <c r="I95" i="8"/>
  <c r="I94" i="8"/>
  <c r="I93" i="8"/>
  <c r="I92" i="8"/>
  <c r="I96" i="8" s="1"/>
  <c r="B96" i="12"/>
  <c r="I89" i="8"/>
  <c r="I88" i="8"/>
  <c r="I87" i="8"/>
  <c r="I86" i="8"/>
  <c r="I85" i="8"/>
  <c r="I84" i="8"/>
  <c r="I81" i="8"/>
  <c r="I80" i="8"/>
  <c r="I79" i="8"/>
  <c r="I78" i="8"/>
  <c r="I77" i="8"/>
  <c r="I76" i="8"/>
  <c r="B80" i="12"/>
  <c r="I73" i="8"/>
  <c r="I72" i="8"/>
  <c r="I71" i="8"/>
  <c r="I70" i="8"/>
  <c r="I69" i="8"/>
  <c r="I68" i="8"/>
  <c r="I67" i="8"/>
  <c r="I66" i="8"/>
  <c r="I63" i="8"/>
  <c r="I62" i="8"/>
  <c r="I61" i="8"/>
  <c r="I60" i="8"/>
  <c r="I59" i="8"/>
  <c r="I58" i="8"/>
  <c r="I57" i="8"/>
  <c r="I56" i="8"/>
  <c r="I55" i="8"/>
  <c r="B59" i="12"/>
  <c r="I52" i="8"/>
  <c r="I51" i="8"/>
  <c r="I50" i="8"/>
  <c r="I49" i="8"/>
  <c r="I48" i="8"/>
  <c r="I47" i="8"/>
  <c r="I44" i="8"/>
  <c r="I43" i="8"/>
  <c r="I42" i="8"/>
  <c r="I41" i="8"/>
  <c r="I40" i="8"/>
  <c r="I39" i="8"/>
  <c r="I38" i="8"/>
  <c r="I35" i="8"/>
  <c r="I34" i="8"/>
  <c r="I33" i="8"/>
  <c r="I30" i="8"/>
  <c r="I29" i="8"/>
  <c r="I28" i="8"/>
  <c r="I27" i="8"/>
  <c r="I26" i="8"/>
  <c r="I25" i="8"/>
  <c r="I24" i="8"/>
  <c r="I23" i="8"/>
  <c r="I22" i="8"/>
  <c r="I21" i="8"/>
  <c r="I20" i="8"/>
  <c r="I19" i="8"/>
  <c r="I18" i="8"/>
  <c r="I17" i="8"/>
  <c r="I10" i="8"/>
  <c r="I9" i="8"/>
  <c r="I8" i="8"/>
  <c r="I7" i="8"/>
  <c r="I6" i="8"/>
  <c r="I5" i="8"/>
  <c r="I4" i="8"/>
  <c r="B110" i="12"/>
  <c r="B109" i="12"/>
  <c r="B108" i="12"/>
  <c r="B107" i="12"/>
  <c r="B106" i="12"/>
  <c r="B111" i="12" s="1"/>
  <c r="B103" i="12"/>
  <c r="B104" i="12" s="1"/>
  <c r="B102" i="12"/>
  <c r="B99" i="12"/>
  <c r="B98" i="12"/>
  <c r="B97" i="12"/>
  <c r="B100" i="12"/>
  <c r="B93" i="12"/>
  <c r="B92" i="12"/>
  <c r="B91" i="12"/>
  <c r="B94" i="12" s="1"/>
  <c r="B90" i="12"/>
  <c r="B89" i="12"/>
  <c r="B88" i="12"/>
  <c r="B85" i="12"/>
  <c r="B84" i="12"/>
  <c r="B83" i="12"/>
  <c r="B82" i="12"/>
  <c r="B81" i="12"/>
  <c r="B77" i="12"/>
  <c r="B76" i="12"/>
  <c r="B75" i="12"/>
  <c r="B74" i="12"/>
  <c r="B73" i="12"/>
  <c r="B72" i="12"/>
  <c r="B71" i="12"/>
  <c r="B70" i="12"/>
  <c r="B78" i="12" s="1"/>
  <c r="B67" i="12"/>
  <c r="B66" i="12"/>
  <c r="B65" i="12"/>
  <c r="B64" i="12"/>
  <c r="B63" i="12"/>
  <c r="B62" i="12"/>
  <c r="B61" i="12"/>
  <c r="B60" i="12"/>
  <c r="B57" i="12"/>
  <c r="B56" i="12"/>
  <c r="B55" i="12"/>
  <c r="B54" i="12"/>
  <c r="B53" i="12"/>
  <c r="B52" i="12"/>
  <c r="B51" i="12"/>
  <c r="B48" i="12"/>
  <c r="B47" i="12"/>
  <c r="B46" i="12"/>
  <c r="B45" i="12"/>
  <c r="B44" i="12"/>
  <c r="B43" i="12"/>
  <c r="B49" i="12" s="1"/>
  <c r="B42" i="12"/>
  <c r="B39" i="12"/>
  <c r="B40" i="12" s="1"/>
  <c r="B38" i="12"/>
  <c r="B37" i="12"/>
  <c r="B34" i="12"/>
  <c r="B33" i="12"/>
  <c r="B32" i="12"/>
  <c r="B31" i="12"/>
  <c r="B30" i="12"/>
  <c r="B29" i="12"/>
  <c r="B28" i="12"/>
  <c r="B27" i="12"/>
  <c r="B26" i="12"/>
  <c r="B25" i="12"/>
  <c r="B24" i="12"/>
  <c r="B23" i="12"/>
  <c r="B22" i="12"/>
  <c r="B35" i="12" s="1"/>
  <c r="B21" i="12"/>
  <c r="B14" i="12"/>
  <c r="B13" i="12"/>
  <c r="B12" i="12"/>
  <c r="B11" i="12"/>
  <c r="B15" i="12" s="1"/>
  <c r="B16" i="12" s="1"/>
  <c r="B10" i="12"/>
  <c r="B9" i="12"/>
  <c r="B8" i="12"/>
  <c r="F27" i="15" l="1"/>
  <c r="I26" i="15"/>
  <c r="J27" i="15" s="1"/>
  <c r="B86" i="12"/>
  <c r="B112" i="12" s="1"/>
  <c r="B113" i="12" s="1"/>
  <c r="B114" i="12" s="1"/>
  <c r="I74" i="8"/>
  <c r="B68" i="12"/>
  <c r="I64" i="8"/>
  <c r="B17" i="12"/>
  <c r="F7" i="10" l="1"/>
  <c r="I45" i="8"/>
  <c r="D18" i="10" l="1"/>
  <c r="D42" i="10"/>
  <c r="I107" i="8" l="1"/>
  <c r="I100" i="8"/>
  <c r="I90" i="8"/>
  <c r="I82" i="8"/>
  <c r="I53" i="8"/>
  <c r="I36" i="8"/>
  <c r="I31" i="8"/>
  <c r="I11" i="8"/>
  <c r="I12" i="8" s="1"/>
  <c r="I13" i="8" s="1"/>
  <c r="I109" i="8" l="1"/>
  <c r="I110" i="8" s="1"/>
  <c r="I111" i="8" s="1"/>
  <c r="E5" i="10" l="1"/>
  <c r="E59" i="10" l="1"/>
  <c r="E66" i="10" s="1"/>
  <c r="F107" i="10"/>
  <c r="G106" i="10"/>
  <c r="F106" i="10"/>
  <c r="F103" i="10"/>
  <c r="F102" i="10"/>
  <c r="F101" i="10"/>
  <c r="G100" i="10"/>
  <c r="F100" i="10"/>
  <c r="G99" i="10"/>
  <c r="F99" i="10"/>
  <c r="G98" i="10"/>
  <c r="F98" i="10"/>
  <c r="G97" i="10"/>
  <c r="F97" i="10"/>
  <c r="G96" i="10"/>
  <c r="F96" i="10"/>
  <c r="G95" i="10"/>
  <c r="F95" i="10"/>
  <c r="F94" i="10"/>
  <c r="G93" i="10"/>
  <c r="F93" i="10"/>
  <c r="G92" i="10"/>
  <c r="F92" i="10"/>
  <c r="G91" i="10"/>
  <c r="F91" i="10"/>
  <c r="G90" i="10"/>
  <c r="F90" i="10"/>
  <c r="F89" i="10"/>
  <c r="F88" i="10"/>
  <c r="F87" i="10"/>
  <c r="F86" i="10"/>
  <c r="F85" i="10"/>
  <c r="F84" i="10"/>
  <c r="F83" i="10"/>
  <c r="F82" i="10"/>
  <c r="F81" i="10"/>
  <c r="F80" i="10"/>
  <c r="G79" i="10"/>
  <c r="F79" i="10"/>
  <c r="G78" i="10"/>
  <c r="F78" i="10"/>
  <c r="G77" i="10"/>
  <c r="F77" i="10"/>
  <c r="G76" i="10"/>
  <c r="F76" i="10"/>
  <c r="G75" i="10"/>
  <c r="F75" i="10"/>
  <c r="G74" i="10"/>
  <c r="F74" i="10"/>
  <c r="G73" i="10"/>
  <c r="F73" i="10"/>
  <c r="F72" i="10"/>
  <c r="F67" i="10"/>
  <c r="F66" i="10"/>
  <c r="G65" i="10"/>
  <c r="F65" i="10"/>
  <c r="G64" i="10"/>
  <c r="F64" i="10"/>
  <c r="G63" i="10"/>
  <c r="F63" i="10"/>
  <c r="G62" i="10"/>
  <c r="F62" i="10"/>
  <c r="G61" i="10"/>
  <c r="F61" i="10"/>
  <c r="G60" i="10"/>
  <c r="F60" i="10"/>
  <c r="F59" i="10"/>
  <c r="G57" i="10"/>
  <c r="F57" i="10"/>
  <c r="G56" i="10"/>
  <c r="F56" i="10"/>
  <c r="G55" i="10"/>
  <c r="F55" i="10"/>
  <c r="G54" i="10"/>
  <c r="F54" i="10"/>
  <c r="G53" i="10"/>
  <c r="G51" i="10"/>
  <c r="F51" i="10"/>
  <c r="G50" i="10"/>
  <c r="F50" i="10"/>
  <c r="G49" i="10"/>
  <c r="F49" i="10"/>
  <c r="G48" i="10"/>
  <c r="F48" i="10"/>
  <c r="G47" i="10"/>
  <c r="G46" i="10"/>
  <c r="F46" i="10"/>
  <c r="G45" i="10"/>
  <c r="F45" i="10"/>
  <c r="G44" i="10"/>
  <c r="F44" i="10"/>
  <c r="G43" i="10"/>
  <c r="F42" i="10"/>
  <c r="G42" i="10"/>
  <c r="G41" i="10"/>
  <c r="F41" i="10"/>
  <c r="G40" i="10"/>
  <c r="F40" i="10"/>
  <c r="G39" i="10"/>
  <c r="G38" i="10"/>
  <c r="F38" i="10"/>
  <c r="G37" i="10"/>
  <c r="F37" i="10"/>
  <c r="G36" i="10"/>
  <c r="F36" i="10"/>
  <c r="G35" i="10"/>
  <c r="G34" i="10"/>
  <c r="G32" i="10"/>
  <c r="F32" i="10"/>
  <c r="G31" i="10"/>
  <c r="G30" i="10"/>
  <c r="F30" i="10"/>
  <c r="G29" i="10"/>
  <c r="F29" i="10"/>
  <c r="G28" i="10"/>
  <c r="F28" i="10"/>
  <c r="G26" i="10"/>
  <c r="G25" i="10"/>
  <c r="F25" i="10"/>
  <c r="G24" i="10"/>
  <c r="F24" i="10"/>
  <c r="G23" i="10"/>
  <c r="F23" i="10"/>
  <c r="G22" i="10"/>
  <c r="F22" i="10"/>
  <c r="G21" i="10"/>
  <c r="F21" i="10"/>
  <c r="G20" i="10"/>
  <c r="G19" i="10"/>
  <c r="F19" i="10"/>
  <c r="G17" i="10"/>
  <c r="F17" i="10"/>
  <c r="G16" i="10"/>
  <c r="F16" i="10"/>
  <c r="G15" i="10"/>
  <c r="F15" i="10"/>
  <c r="G14" i="10"/>
  <c r="F14" i="10"/>
  <c r="G13" i="10"/>
  <c r="F13" i="10"/>
  <c r="G12" i="10"/>
  <c r="F12" i="10"/>
  <c r="G11" i="10"/>
  <c r="F11" i="10"/>
  <c r="G10" i="10"/>
  <c r="F10" i="10"/>
  <c r="G9" i="10"/>
  <c r="F9" i="10"/>
  <c r="G8" i="10"/>
  <c r="D6" i="10"/>
  <c r="G7" i="10"/>
  <c r="D34" i="10"/>
  <c r="F31" i="10"/>
  <c r="G59" i="10" l="1"/>
  <c r="F26" i="10"/>
  <c r="D5" i="10"/>
  <c r="F39" i="10"/>
  <c r="G6" i="10"/>
  <c r="G18" i="10"/>
  <c r="F34" i="10"/>
  <c r="G33" i="10"/>
  <c r="F35" i="10"/>
  <c r="F43" i="10"/>
  <c r="F8" i="10"/>
  <c r="F6" i="10" s="1"/>
  <c r="F20" i="10"/>
  <c r="G82" i="10"/>
  <c r="F18" i="10" l="1"/>
  <c r="F5" i="10" s="1"/>
  <c r="G67" i="10"/>
  <c r="G87" i="10"/>
  <c r="G89" i="10"/>
  <c r="G86" i="10"/>
  <c r="G88" i="10"/>
  <c r="G85" i="10"/>
  <c r="F53" i="10"/>
  <c r="D47" i="10"/>
  <c r="D33" i="10" s="1"/>
  <c r="G5" i="10"/>
  <c r="G72" i="10" l="1"/>
  <c r="G94" i="10"/>
  <c r="F47" i="10"/>
  <c r="F33" i="10" s="1"/>
  <c r="G84" i="10"/>
  <c r="G102" i="10"/>
  <c r="G66" i="10" l="1"/>
  <c r="AM46" i="5" l="1"/>
  <c r="AK46" i="5"/>
  <c r="AJ46" i="5"/>
  <c r="AD46" i="5"/>
  <c r="AC46" i="5"/>
  <c r="X46" i="5"/>
  <c r="W46" i="5"/>
  <c r="P46" i="5"/>
  <c r="O46" i="5"/>
  <c r="N46" i="5"/>
  <c r="M46" i="5"/>
  <c r="H46" i="5"/>
  <c r="G46" i="5"/>
  <c r="F46" i="5"/>
  <c r="E46" i="5"/>
  <c r="Z45" i="5"/>
  <c r="Y45" i="5"/>
  <c r="I45" i="5"/>
  <c r="J45" i="5" s="1"/>
  <c r="L45" i="5" s="1"/>
  <c r="Z44" i="5"/>
  <c r="Y44" i="5"/>
  <c r="V44" i="5"/>
  <c r="U44" i="5"/>
  <c r="J44" i="5"/>
  <c r="L44" i="5" s="1"/>
  <c r="Z43" i="5"/>
  <c r="Y43" i="5"/>
  <c r="I43" i="5"/>
  <c r="U43" i="5" s="1"/>
  <c r="AN43" i="5" s="1"/>
  <c r="Z42" i="5"/>
  <c r="Y42" i="5"/>
  <c r="V42" i="5"/>
  <c r="U42" i="5"/>
  <c r="AN42" i="5" s="1"/>
  <c r="J42" i="5"/>
  <c r="K42" i="5" s="1"/>
  <c r="Z41" i="5"/>
  <c r="Y41" i="5"/>
  <c r="V41" i="5"/>
  <c r="U41" i="5"/>
  <c r="J41" i="5"/>
  <c r="L41" i="5" s="1"/>
  <c r="Z40" i="5"/>
  <c r="Y40" i="5"/>
  <c r="V40" i="5"/>
  <c r="U40" i="5"/>
  <c r="AN40" i="5" s="1"/>
  <c r="J40" i="5"/>
  <c r="L40" i="5" s="1"/>
  <c r="Z39" i="5"/>
  <c r="Y39" i="5"/>
  <c r="V39" i="5"/>
  <c r="U39" i="5"/>
  <c r="AN39" i="5" s="1"/>
  <c r="J39" i="5"/>
  <c r="L39" i="5" s="1"/>
  <c r="Z38" i="5"/>
  <c r="Y38" i="5"/>
  <c r="V38" i="5"/>
  <c r="U38" i="5"/>
  <c r="J38" i="5"/>
  <c r="L38" i="5" s="1"/>
  <c r="AD37" i="5"/>
  <c r="AC37" i="5"/>
  <c r="X37" i="5"/>
  <c r="W37" i="5"/>
  <c r="P37" i="5"/>
  <c r="O37" i="5"/>
  <c r="N37" i="5"/>
  <c r="M37" i="5"/>
  <c r="I37" i="5"/>
  <c r="H37" i="5"/>
  <c r="G37" i="5"/>
  <c r="F37" i="5"/>
  <c r="E37" i="5"/>
  <c r="Z36" i="5"/>
  <c r="Z37" i="5" s="1"/>
  <c r="Y36" i="5"/>
  <c r="Y37" i="5" s="1"/>
  <c r="V36" i="5"/>
  <c r="V37" i="5" s="1"/>
  <c r="U36" i="5"/>
  <c r="U37" i="5" s="1"/>
  <c r="J36" i="5"/>
  <c r="K36" i="5" s="1"/>
  <c r="K37" i="5" s="1"/>
  <c r="AM35" i="5"/>
  <c r="AL35" i="5"/>
  <c r="AL47" i="5" s="1"/>
  <c r="AK35" i="5"/>
  <c r="AJ35" i="5"/>
  <c r="AI35" i="5"/>
  <c r="AI47" i="5" s="1"/>
  <c r="AH35" i="5"/>
  <c r="AH47" i="5" s="1"/>
  <c r="AG35" i="5"/>
  <c r="AG47" i="5" s="1"/>
  <c r="AD35" i="5"/>
  <c r="AC35" i="5"/>
  <c r="X35" i="5"/>
  <c r="W35" i="5"/>
  <c r="P35" i="5"/>
  <c r="O35" i="5"/>
  <c r="N35" i="5"/>
  <c r="M35" i="5"/>
  <c r="I35" i="5"/>
  <c r="H35" i="5"/>
  <c r="G35" i="5"/>
  <c r="F35" i="5"/>
  <c r="E35" i="5"/>
  <c r="Z34" i="5"/>
  <c r="Y34" i="5"/>
  <c r="V34" i="5"/>
  <c r="U34" i="5"/>
  <c r="J34" i="5"/>
  <c r="K34" i="5" s="1"/>
  <c r="Z33" i="5"/>
  <c r="Y33" i="5"/>
  <c r="V33" i="5"/>
  <c r="U33" i="5"/>
  <c r="J33" i="5"/>
  <c r="K33" i="5" s="1"/>
  <c r="AM32" i="5"/>
  <c r="AJ32" i="5"/>
  <c r="AD32" i="5"/>
  <c r="AC32" i="5"/>
  <c r="X32" i="5"/>
  <c r="W32" i="5"/>
  <c r="P32" i="5"/>
  <c r="O32" i="5"/>
  <c r="N32" i="5"/>
  <c r="M32" i="5"/>
  <c r="I32" i="5"/>
  <c r="H32" i="5"/>
  <c r="G32" i="5"/>
  <c r="F32" i="5"/>
  <c r="E32" i="5"/>
  <c r="Z31" i="5"/>
  <c r="Y31" i="5"/>
  <c r="V31" i="5"/>
  <c r="U31" i="5"/>
  <c r="AN31" i="5" s="1"/>
  <c r="J31" i="5"/>
  <c r="K31" i="5" s="1"/>
  <c r="Z30" i="5"/>
  <c r="Y30" i="5"/>
  <c r="V30" i="5"/>
  <c r="U30" i="5"/>
  <c r="AN30" i="5" s="1"/>
  <c r="J30" i="5"/>
  <c r="Z29" i="5"/>
  <c r="Y29" i="5"/>
  <c r="V29" i="5"/>
  <c r="U29" i="5"/>
  <c r="AN29" i="5" s="1"/>
  <c r="J29" i="5"/>
  <c r="Z28" i="5"/>
  <c r="Y28" i="5"/>
  <c r="V28" i="5"/>
  <c r="U28" i="5"/>
  <c r="J28" i="5"/>
  <c r="K28" i="5" s="1"/>
  <c r="AM27" i="5"/>
  <c r="AD27" i="5"/>
  <c r="AC27" i="5"/>
  <c r="X27" i="5"/>
  <c r="W27" i="5"/>
  <c r="P27" i="5"/>
  <c r="O27" i="5"/>
  <c r="N27" i="5"/>
  <c r="M27" i="5"/>
  <c r="I27" i="5"/>
  <c r="H27" i="5"/>
  <c r="G27" i="5"/>
  <c r="F27" i="5"/>
  <c r="E27" i="5"/>
  <c r="Z26" i="5"/>
  <c r="Y26" i="5"/>
  <c r="V26" i="5"/>
  <c r="U26" i="5"/>
  <c r="J26" i="5"/>
  <c r="Z25" i="5"/>
  <c r="Y25" i="5"/>
  <c r="V25" i="5"/>
  <c r="U25" i="5"/>
  <c r="J25" i="5"/>
  <c r="Z24" i="5"/>
  <c r="Y24" i="5"/>
  <c r="V24" i="5"/>
  <c r="U24" i="5"/>
  <c r="AN24" i="5" s="1"/>
  <c r="J24" i="5"/>
  <c r="L24" i="5" s="1"/>
  <c r="Z23" i="5"/>
  <c r="Y23" i="5"/>
  <c r="V23" i="5"/>
  <c r="U23" i="5"/>
  <c r="J23" i="5"/>
  <c r="Z22" i="5"/>
  <c r="Y22" i="5"/>
  <c r="V22" i="5"/>
  <c r="U22" i="5"/>
  <c r="AN22" i="5" s="1"/>
  <c r="J22" i="5"/>
  <c r="L22" i="5" s="1"/>
  <c r="AM21" i="5"/>
  <c r="AD21" i="5"/>
  <c r="AC21" i="5"/>
  <c r="X21" i="5"/>
  <c r="W21" i="5"/>
  <c r="P21" i="5"/>
  <c r="O21" i="5"/>
  <c r="N21" i="5"/>
  <c r="M21" i="5"/>
  <c r="G21" i="5"/>
  <c r="F21" i="5"/>
  <c r="E21" i="5"/>
  <c r="Z20" i="5"/>
  <c r="Y20" i="5"/>
  <c r="I20" i="5"/>
  <c r="J20" i="5" s="1"/>
  <c r="Z19" i="5"/>
  <c r="Y19" i="5"/>
  <c r="V19" i="5"/>
  <c r="U19" i="5"/>
  <c r="AN19" i="5" s="1"/>
  <c r="J19" i="5"/>
  <c r="L19" i="5" s="1"/>
  <c r="Z18" i="5"/>
  <c r="Y18" i="5"/>
  <c r="V18" i="5"/>
  <c r="U18" i="5"/>
  <c r="AN18" i="5" s="1"/>
  <c r="J18" i="5"/>
  <c r="L18" i="5" s="1"/>
  <c r="Z17" i="5"/>
  <c r="Y17" i="5"/>
  <c r="I17" i="5"/>
  <c r="V17" i="5" s="1"/>
  <c r="Z16" i="5"/>
  <c r="Y16" i="5"/>
  <c r="V16" i="5"/>
  <c r="U16" i="5"/>
  <c r="AN16" i="5" s="1"/>
  <c r="J16" i="5"/>
  <c r="L16" i="5" s="1"/>
  <c r="Z15" i="5"/>
  <c r="Y15" i="5"/>
  <c r="V15" i="5"/>
  <c r="U15" i="5"/>
  <c r="AN15" i="5" s="1"/>
  <c r="J15" i="5"/>
  <c r="K15" i="5" s="1"/>
  <c r="Z14" i="5"/>
  <c r="Y14" i="5"/>
  <c r="V14" i="5"/>
  <c r="U14" i="5"/>
  <c r="AN14" i="5" s="1"/>
  <c r="J14" i="5"/>
  <c r="K14" i="5" s="1"/>
  <c r="Z13" i="5"/>
  <c r="Y13" i="5"/>
  <c r="V13" i="5"/>
  <c r="U13" i="5"/>
  <c r="AN13" i="5" s="1"/>
  <c r="J13" i="5"/>
  <c r="K13" i="5" s="1"/>
  <c r="Z12" i="5"/>
  <c r="Y12" i="5"/>
  <c r="V12" i="5"/>
  <c r="U12" i="5"/>
  <c r="AN12" i="5" s="1"/>
  <c r="J12" i="5"/>
  <c r="K12" i="5" s="1"/>
  <c r="Z11" i="5"/>
  <c r="Y11" i="5"/>
  <c r="V11" i="5"/>
  <c r="U11" i="5"/>
  <c r="AN11" i="5" s="1"/>
  <c r="J11" i="5"/>
  <c r="K11" i="5" s="1"/>
  <c r="Z10" i="5"/>
  <c r="Y10" i="5"/>
  <c r="V10" i="5"/>
  <c r="U10" i="5"/>
  <c r="AN10" i="5" s="1"/>
  <c r="J10" i="5"/>
  <c r="K10" i="5" s="1"/>
  <c r="Z9" i="5"/>
  <c r="Y9" i="5"/>
  <c r="V9" i="5"/>
  <c r="J9" i="5"/>
  <c r="L9" i="5" s="1"/>
  <c r="H9" i="5"/>
  <c r="H21" i="5" s="1"/>
  <c r="AA24" i="5" l="1"/>
  <c r="AE24" i="5" s="1"/>
  <c r="AF24" i="5" s="1"/>
  <c r="D24" i="5" s="1"/>
  <c r="AA10" i="5"/>
  <c r="AE10" i="5" s="1"/>
  <c r="AF10" i="5" s="1"/>
  <c r="D10" i="5" s="1"/>
  <c r="Q12" i="5"/>
  <c r="P47" i="5"/>
  <c r="AA31" i="5"/>
  <c r="AB31" i="5" s="1"/>
  <c r="L12" i="5"/>
  <c r="AA12" i="5"/>
  <c r="AE12" i="5" s="1"/>
  <c r="AF12" i="5" s="1"/>
  <c r="D12" i="5" s="1"/>
  <c r="L13" i="5"/>
  <c r="Q13" i="5" s="1"/>
  <c r="R13" i="5" s="1"/>
  <c r="S13" i="5" s="1"/>
  <c r="K16" i="5"/>
  <c r="U45" i="5"/>
  <c r="AN45" i="5" s="1"/>
  <c r="AA11" i="5"/>
  <c r="AE11" i="5" s="1"/>
  <c r="AF11" i="5" s="1"/>
  <c r="D11" i="5" s="1"/>
  <c r="L36" i="5"/>
  <c r="L37" i="5" s="1"/>
  <c r="AA28" i="5"/>
  <c r="AB28" i="5" s="1"/>
  <c r="L33" i="5"/>
  <c r="AA33" i="5"/>
  <c r="AA35" i="5" s="1"/>
  <c r="AA41" i="5"/>
  <c r="AE41" i="5" s="1"/>
  <c r="AF41" i="5" s="1"/>
  <c r="D41" i="5" s="1"/>
  <c r="J17" i="5"/>
  <c r="L17" i="5" s="1"/>
  <c r="V32" i="5"/>
  <c r="AA38" i="5"/>
  <c r="AE38" i="5" s="1"/>
  <c r="K9" i="5"/>
  <c r="Q9" i="5" s="1"/>
  <c r="R9" i="5" s="1"/>
  <c r="AA14" i="5"/>
  <c r="AE14" i="5" s="1"/>
  <c r="AF14" i="5" s="1"/>
  <c r="D14" i="5" s="1"/>
  <c r="Y27" i="5"/>
  <c r="AA25" i="5"/>
  <c r="AE25" i="5" s="1"/>
  <c r="AF25" i="5" s="1"/>
  <c r="D25" i="5" s="1"/>
  <c r="AB41" i="5"/>
  <c r="F47" i="5"/>
  <c r="L11" i="5"/>
  <c r="Q11" i="5"/>
  <c r="R11" i="5" s="1"/>
  <c r="S11" i="5" s="1"/>
  <c r="AA23" i="5"/>
  <c r="AE23" i="5" s="1"/>
  <c r="AF23" i="5" s="1"/>
  <c r="D23" i="5" s="1"/>
  <c r="AA30" i="5"/>
  <c r="AB30" i="5" s="1"/>
  <c r="J37" i="5"/>
  <c r="AA39" i="5"/>
  <c r="AE39" i="5" s="1"/>
  <c r="AF39" i="5" s="1"/>
  <c r="D39" i="5" s="1"/>
  <c r="AA42" i="5"/>
  <c r="AE42" i="5" s="1"/>
  <c r="AF42" i="5" s="1"/>
  <c r="D42" i="5" s="1"/>
  <c r="L10" i="5"/>
  <c r="Q10" i="5" s="1"/>
  <c r="R10" i="5" s="1"/>
  <c r="S10" i="5" s="1"/>
  <c r="K22" i="5"/>
  <c r="AA26" i="5"/>
  <c r="AE26" i="5" s="1"/>
  <c r="AF26" i="5" s="1"/>
  <c r="D26" i="5" s="1"/>
  <c r="L28" i="5"/>
  <c r="Q28" i="5" s="1"/>
  <c r="R28" i="5" s="1"/>
  <c r="AA44" i="5"/>
  <c r="Q22" i="5"/>
  <c r="R22" i="5" s="1"/>
  <c r="Q15" i="5"/>
  <c r="R15" i="5" s="1"/>
  <c r="S15" i="5" s="1"/>
  <c r="N47" i="5"/>
  <c r="AA13" i="5"/>
  <c r="AE13" i="5" s="1"/>
  <c r="AF13" i="5" s="1"/>
  <c r="D13" i="5" s="1"/>
  <c r="L15" i="5"/>
  <c r="AA16" i="5"/>
  <c r="AA18" i="5"/>
  <c r="AB18" i="5" s="1"/>
  <c r="G47" i="5"/>
  <c r="K24" i="5"/>
  <c r="Q24" i="5" s="1"/>
  <c r="R24" i="5" s="1"/>
  <c r="S24" i="5" s="1"/>
  <c r="K25" i="5"/>
  <c r="Z32" i="5"/>
  <c r="V35" i="5"/>
  <c r="AA34" i="5"/>
  <c r="H47" i="5"/>
  <c r="L14" i="5"/>
  <c r="Q14" i="5" s="1"/>
  <c r="R14" i="5" s="1"/>
  <c r="S14" i="5" s="1"/>
  <c r="AA15" i="5"/>
  <c r="AE15" i="5" s="1"/>
  <c r="AF15" i="5" s="1"/>
  <c r="D15" i="5" s="1"/>
  <c r="U17" i="5"/>
  <c r="AN17" i="5" s="1"/>
  <c r="K18" i="5"/>
  <c r="Q18" i="5" s="1"/>
  <c r="R18" i="5" s="1"/>
  <c r="S18" i="5" s="1"/>
  <c r="K23" i="5"/>
  <c r="K38" i="5"/>
  <c r="Q38" i="5" s="1"/>
  <c r="R38" i="5" s="1"/>
  <c r="K39" i="5"/>
  <c r="Q39" i="5" s="1"/>
  <c r="R39" i="5" s="1"/>
  <c r="S39" i="5" s="1"/>
  <c r="K40" i="5"/>
  <c r="Q40" i="5" s="1"/>
  <c r="R40" i="5" s="1"/>
  <c r="S40" i="5" s="1"/>
  <c r="K41" i="5"/>
  <c r="Q41" i="5" s="1"/>
  <c r="R41" i="5" s="1"/>
  <c r="S41" i="5" s="1"/>
  <c r="Y46" i="5"/>
  <c r="V45" i="5"/>
  <c r="AA45" i="5" s="1"/>
  <c r="AB45" i="5" s="1"/>
  <c r="AA19" i="5"/>
  <c r="AB19" i="5" s="1"/>
  <c r="M47" i="5"/>
  <c r="Z27" i="5"/>
  <c r="L23" i="5"/>
  <c r="L25" i="5"/>
  <c r="E47" i="5"/>
  <c r="L31" i="5"/>
  <c r="Q31" i="5" s="1"/>
  <c r="R31" i="5" s="1"/>
  <c r="S31" i="5" s="1"/>
  <c r="Y35" i="5"/>
  <c r="L42" i="5"/>
  <c r="Q42" i="5" s="1"/>
  <c r="R42" i="5" s="1"/>
  <c r="S42" i="5" s="1"/>
  <c r="K44" i="5"/>
  <c r="Q44" i="5" s="1"/>
  <c r="R44" i="5" s="1"/>
  <c r="S44" i="5" s="1"/>
  <c r="K45" i="5"/>
  <c r="Q45" i="5" s="1"/>
  <c r="R45" i="5" s="1"/>
  <c r="S45" i="5" s="1"/>
  <c r="AM47" i="5"/>
  <c r="U27" i="5"/>
  <c r="AN27" i="5" s="1"/>
  <c r="U46" i="5"/>
  <c r="AN46" i="5" s="1"/>
  <c r="AA40" i="5"/>
  <c r="AE40" i="5" s="1"/>
  <c r="AF40" i="5" s="1"/>
  <c r="D40" i="5" s="1"/>
  <c r="O47" i="5"/>
  <c r="AJ47" i="5"/>
  <c r="AB13" i="5"/>
  <c r="AB34" i="5"/>
  <c r="AE34" i="5"/>
  <c r="AF34" i="5" s="1"/>
  <c r="D34" i="5" s="1"/>
  <c r="AE16" i="5"/>
  <c r="AF16" i="5" s="1"/>
  <c r="D16" i="5" s="1"/>
  <c r="AB16" i="5"/>
  <c r="L29" i="5"/>
  <c r="AB38" i="5"/>
  <c r="AB10" i="5"/>
  <c r="AA17" i="5"/>
  <c r="AN23" i="5"/>
  <c r="AO27" i="5" s="1"/>
  <c r="K29" i="5"/>
  <c r="AE31" i="5"/>
  <c r="AF31" i="5" s="1"/>
  <c r="D31" i="5" s="1"/>
  <c r="AN38" i="5"/>
  <c r="AO46" i="5" s="1"/>
  <c r="I46" i="5"/>
  <c r="J43" i="5"/>
  <c r="V43" i="5"/>
  <c r="AA43" i="5" s="1"/>
  <c r="AB23" i="5"/>
  <c r="K26" i="5"/>
  <c r="J27" i="5"/>
  <c r="L26" i="5"/>
  <c r="L27" i="5" s="1"/>
  <c r="Q33" i="5"/>
  <c r="K35" i="5"/>
  <c r="L30" i="5"/>
  <c r="K30" i="5"/>
  <c r="J32" i="5"/>
  <c r="W47" i="5"/>
  <c r="V27" i="5"/>
  <c r="AA22" i="5"/>
  <c r="U32" i="5"/>
  <c r="AN32" i="5" s="1"/>
  <c r="AN28" i="5"/>
  <c r="AO32" i="5" s="1"/>
  <c r="U35" i="5"/>
  <c r="AN35" i="5" s="1"/>
  <c r="AN33" i="5"/>
  <c r="AO35" i="5" s="1"/>
  <c r="AB33" i="5"/>
  <c r="L20" i="5"/>
  <c r="K20" i="5"/>
  <c r="J35" i="5"/>
  <c r="L34" i="5"/>
  <c r="Z21" i="5"/>
  <c r="AB12" i="5"/>
  <c r="U9" i="5"/>
  <c r="AA9" i="5"/>
  <c r="K19" i="5"/>
  <c r="Q19" i="5" s="1"/>
  <c r="R19" i="5" s="1"/>
  <c r="S19" i="5" s="1"/>
  <c r="R12" i="5"/>
  <c r="S12" i="5" s="1"/>
  <c r="Q16" i="5"/>
  <c r="R16" i="5" s="1"/>
  <c r="S16" i="5" s="1"/>
  <c r="U20" i="5"/>
  <c r="AN20" i="5" s="1"/>
  <c r="I21" i="5"/>
  <c r="V20" i="5"/>
  <c r="AA20" i="5" s="1"/>
  <c r="X47" i="5"/>
  <c r="AD47" i="5"/>
  <c r="AB24" i="5"/>
  <c r="AE28" i="5"/>
  <c r="AA29" i="5"/>
  <c r="AE33" i="5"/>
  <c r="Q36" i="5"/>
  <c r="Z46" i="5"/>
  <c r="AK47" i="5"/>
  <c r="AC47" i="5"/>
  <c r="Y32" i="5"/>
  <c r="Y21" i="5"/>
  <c r="Z35" i="5"/>
  <c r="AA36" i="5"/>
  <c r="Q29" i="5" l="1"/>
  <c r="R29" i="5" s="1"/>
  <c r="S29" i="5" s="1"/>
  <c r="AB39" i="5"/>
  <c r="K17" i="5"/>
  <c r="Q17" i="5" s="1"/>
  <c r="R17" i="5" s="1"/>
  <c r="S17" i="5" s="1"/>
  <c r="J21" i="5"/>
  <c r="AE19" i="5"/>
  <c r="AF19" i="5" s="1"/>
  <c r="D19" i="5" s="1"/>
  <c r="AB42" i="5"/>
  <c r="L21" i="5"/>
  <c r="L35" i="5"/>
  <c r="AB26" i="5"/>
  <c r="AB14" i="5"/>
  <c r="AB11" i="5"/>
  <c r="AB35" i="5"/>
  <c r="K27" i="5"/>
  <c r="AB15" i="5"/>
  <c r="AE45" i="5"/>
  <c r="AF45" i="5" s="1"/>
  <c r="D45" i="5" s="1"/>
  <c r="V46" i="5"/>
  <c r="AB40" i="5"/>
  <c r="AE44" i="5"/>
  <c r="AF44" i="5" s="1"/>
  <c r="D44" i="5" s="1"/>
  <c r="AB44" i="5"/>
  <c r="AE30" i="5"/>
  <c r="AF30" i="5" s="1"/>
  <c r="D30" i="5" s="1"/>
  <c r="I47" i="5"/>
  <c r="AB25" i="5"/>
  <c r="Q25" i="5"/>
  <c r="R25" i="5" s="1"/>
  <c r="S25" i="5" s="1"/>
  <c r="AE18" i="5"/>
  <c r="AF18" i="5" s="1"/>
  <c r="D18" i="5" s="1"/>
  <c r="L32" i="5"/>
  <c r="V21" i="5"/>
  <c r="Q23" i="5"/>
  <c r="R23" i="5" s="1"/>
  <c r="S23" i="5" s="1"/>
  <c r="Q30" i="5"/>
  <c r="R30" i="5" s="1"/>
  <c r="S30" i="5" s="1"/>
  <c r="S38" i="5"/>
  <c r="Q37" i="5"/>
  <c r="R36" i="5"/>
  <c r="AE43" i="5"/>
  <c r="AF43" i="5" s="1"/>
  <c r="D43" i="5" s="1"/>
  <c r="AB43" i="5"/>
  <c r="AE35" i="5"/>
  <c r="AF33" i="5"/>
  <c r="AF28" i="5"/>
  <c r="AE22" i="5"/>
  <c r="AB22" i="5"/>
  <c r="AA27" i="5"/>
  <c r="U21" i="5"/>
  <c r="AN9" i="5"/>
  <c r="AO21" i="5" s="1"/>
  <c r="AO47" i="5" s="1"/>
  <c r="AB17" i="5"/>
  <c r="AE17" i="5"/>
  <c r="AF17" i="5" s="1"/>
  <c r="D17" i="5" s="1"/>
  <c r="S28" i="5"/>
  <c r="K32" i="5"/>
  <c r="L43" i="5"/>
  <c r="L46" i="5" s="1"/>
  <c r="J46" i="5"/>
  <c r="K43" i="5"/>
  <c r="K21" i="5"/>
  <c r="AB36" i="5"/>
  <c r="AB37" i="5" s="1"/>
  <c r="AE36" i="5"/>
  <c r="AA37" i="5"/>
  <c r="S9" i="5"/>
  <c r="AB29" i="5"/>
  <c r="AB32" i="5" s="1"/>
  <c r="AE29" i="5"/>
  <c r="AF29" i="5" s="1"/>
  <c r="D29" i="5" s="1"/>
  <c r="AA32" i="5"/>
  <c r="R33" i="5"/>
  <c r="AF38" i="5"/>
  <c r="Q34" i="5"/>
  <c r="R34" i="5" s="1"/>
  <c r="S34" i="5" s="1"/>
  <c r="Y47" i="5"/>
  <c r="S22" i="5"/>
  <c r="AB20" i="5"/>
  <c r="AE20" i="5"/>
  <c r="AF20" i="5" s="1"/>
  <c r="D20" i="5" s="1"/>
  <c r="AE9" i="5"/>
  <c r="AB9" i="5"/>
  <c r="AA21" i="5"/>
  <c r="Z47" i="5"/>
  <c r="Q20" i="5"/>
  <c r="R20" i="5" s="1"/>
  <c r="S20" i="5" s="1"/>
  <c r="Q26" i="5"/>
  <c r="AA46" i="5"/>
  <c r="V47" i="5" l="1"/>
  <c r="J47" i="5"/>
  <c r="L47" i="5"/>
  <c r="AB27" i="5"/>
  <c r="AE46" i="5"/>
  <c r="AB46" i="5"/>
  <c r="Q32" i="5"/>
  <c r="S32" i="5"/>
  <c r="AB21" i="5"/>
  <c r="R32" i="5"/>
  <c r="Q35" i="5"/>
  <c r="S21" i="5"/>
  <c r="AE32" i="5"/>
  <c r="Q21" i="5"/>
  <c r="Q27" i="5"/>
  <c r="R26" i="5"/>
  <c r="AE21" i="5"/>
  <c r="AF9" i="5"/>
  <c r="R21" i="5"/>
  <c r="D28" i="5"/>
  <c r="D32" i="5" s="1"/>
  <c r="AF32" i="5"/>
  <c r="Q43" i="5"/>
  <c r="K46" i="5"/>
  <c r="K47" i="5" s="1"/>
  <c r="AF46" i="5"/>
  <c r="D38" i="5"/>
  <c r="D46" i="5" s="1"/>
  <c r="D33" i="5"/>
  <c r="D35" i="5" s="1"/>
  <c r="AF35" i="5"/>
  <c r="R37" i="5"/>
  <c r="S36" i="5"/>
  <c r="S37" i="5" s="1"/>
  <c r="AA47" i="5"/>
  <c r="S33" i="5"/>
  <c r="S35" i="5" s="1"/>
  <c r="R35" i="5"/>
  <c r="AE37" i="5"/>
  <c r="AF36" i="5"/>
  <c r="U47" i="5"/>
  <c r="AN47" i="5" s="1"/>
  <c r="AN21" i="5"/>
  <c r="AE27" i="5"/>
  <c r="AF22" i="5"/>
  <c r="D45" i="1"/>
  <c r="D25" i="1" s="1"/>
  <c r="D27" i="1" s="1"/>
  <c r="AB47" i="5" l="1"/>
  <c r="AE47" i="5"/>
  <c r="AF27" i="5"/>
  <c r="D22" i="5"/>
  <c r="D27" i="5" s="1"/>
  <c r="D36" i="5"/>
  <c r="D37" i="5" s="1"/>
  <c r="AF37" i="5"/>
  <c r="S26" i="5"/>
  <c r="S27" i="5" s="1"/>
  <c r="R27" i="5"/>
  <c r="R43" i="5"/>
  <c r="Q46" i="5"/>
  <c r="Q47" i="5" s="1"/>
  <c r="AF21" i="5"/>
  <c r="D9" i="5"/>
  <c r="D21" i="5" s="1"/>
  <c r="K7" i="1"/>
  <c r="K8" i="1"/>
  <c r="K9" i="1"/>
  <c r="K10" i="1"/>
  <c r="K11" i="1"/>
  <c r="K12" i="1"/>
  <c r="K13" i="1"/>
  <c r="K14" i="1"/>
  <c r="K15" i="1"/>
  <c r="K16" i="1"/>
  <c r="K18" i="1"/>
  <c r="K19" i="1"/>
  <c r="K20" i="1"/>
  <c r="K21" i="1"/>
  <c r="K22" i="1"/>
  <c r="K23" i="1"/>
  <c r="K24" i="1"/>
  <c r="K25" i="1"/>
  <c r="K26" i="1"/>
  <c r="K27" i="1"/>
  <c r="K28" i="1"/>
  <c r="K29" i="1"/>
  <c r="K30" i="1"/>
  <c r="K33" i="1"/>
  <c r="K34" i="1"/>
  <c r="K35" i="1"/>
  <c r="K36" i="1"/>
  <c r="K37" i="1"/>
  <c r="K38" i="1"/>
  <c r="K39" i="1"/>
  <c r="K41" i="1"/>
  <c r="K42" i="1"/>
  <c r="K43" i="1"/>
  <c r="K44" i="1"/>
  <c r="K46" i="1"/>
  <c r="K47" i="1"/>
  <c r="K48" i="1"/>
  <c r="K49" i="1"/>
  <c r="K50" i="1"/>
  <c r="K51" i="1"/>
  <c r="K52" i="1"/>
  <c r="K53" i="1"/>
  <c r="K54" i="1"/>
  <c r="K56" i="1"/>
  <c r="K57" i="1"/>
  <c r="K58" i="1"/>
  <c r="K59" i="1"/>
  <c r="K60" i="1"/>
  <c r="K61" i="1"/>
  <c r="K64" i="1"/>
  <c r="K65" i="1"/>
  <c r="K66" i="1"/>
  <c r="K67" i="1"/>
  <c r="K68" i="1"/>
  <c r="K69" i="1"/>
  <c r="K70" i="1"/>
  <c r="K71" i="1"/>
  <c r="K72" i="1"/>
  <c r="K73" i="1"/>
  <c r="K74" i="1"/>
  <c r="K76" i="1"/>
  <c r="K77" i="1"/>
  <c r="K78" i="1"/>
  <c r="K79" i="1"/>
  <c r="K80" i="1"/>
  <c r="K81" i="1"/>
  <c r="K82" i="1"/>
  <c r="K83" i="1"/>
  <c r="K84" i="1"/>
  <c r="K85" i="1"/>
  <c r="K86" i="1"/>
  <c r="K87" i="1"/>
  <c r="K88" i="1"/>
  <c r="K89" i="1"/>
  <c r="K90" i="1"/>
  <c r="K91" i="1"/>
  <c r="K92" i="1"/>
  <c r="K93" i="1"/>
  <c r="K94" i="1"/>
  <c r="K96" i="1"/>
  <c r="K97" i="1"/>
  <c r="K99" i="1"/>
  <c r="K6" i="1"/>
  <c r="AF47" i="5" l="1"/>
  <c r="S43" i="5"/>
  <c r="S46" i="5" s="1"/>
  <c r="S47" i="5" s="1"/>
  <c r="R46" i="5"/>
  <c r="R47" i="5" s="1"/>
  <c r="D47" i="5"/>
  <c r="K55" i="1"/>
  <c r="K62" i="1" s="1"/>
  <c r="K75" i="1"/>
  <c r="K45" i="1"/>
  <c r="K32" i="1"/>
  <c r="K5" i="1"/>
  <c r="K40" i="1"/>
  <c r="K17" i="1"/>
  <c r="K63" i="1"/>
  <c r="K4" i="1" l="1"/>
  <c r="L4" i="1" s="1"/>
  <c r="K31" i="1"/>
  <c r="K95" i="1"/>
  <c r="K98" i="1" s="1"/>
  <c r="K100" i="1" s="1"/>
  <c r="E71" i="10"/>
  <c r="G80" i="10"/>
  <c r="G71" i="10" s="1"/>
  <c r="E81" i="10"/>
  <c r="G83" i="10"/>
  <c r="G103" i="10" l="1"/>
  <c r="E101" i="10"/>
  <c r="G81" i="10"/>
  <c r="G101" i="10" l="1"/>
  <c r="E105" i="10"/>
  <c r="E107" i="10" s="1"/>
  <c r="G105" i="10" l="1"/>
  <c r="G107"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ssovandavy</author>
    <author>Om Sitha</author>
    <author>csok</author>
    <author>bora.dim</author>
  </authors>
  <commentList>
    <comment ref="I9" authorId="0" shapeId="0" xr:uid="{00000000-0006-0000-0400-000001000000}">
      <text>
        <r>
          <rPr>
            <b/>
            <sz val="8"/>
            <color indexed="81"/>
            <rFont val="Tahoma"/>
            <family val="2"/>
          </rPr>
          <t>ssovandavy:</t>
        </r>
        <r>
          <rPr>
            <sz val="8"/>
            <color indexed="81"/>
            <rFont val="Tahoma"/>
            <family val="2"/>
          </rPr>
          <t xml:space="preserve">
Mr. Saroeun start on 8 Sep'04, new post on 2 Dec'12</t>
        </r>
      </text>
    </comment>
    <comment ref="I10" authorId="0" shapeId="0" xr:uid="{00000000-0006-0000-0400-000002000000}">
      <text>
        <r>
          <rPr>
            <b/>
            <sz val="8"/>
            <color indexed="81"/>
            <rFont val="Tahoma"/>
            <family val="2"/>
          </rPr>
          <t>ssovandavy:</t>
        </r>
        <r>
          <rPr>
            <sz val="8"/>
            <color indexed="81"/>
            <rFont val="Tahoma"/>
            <family val="2"/>
          </rPr>
          <t xml:space="preserve">
Ms. El Sotheary start on 1 Nov'12, start new post on 1 Aug'13</t>
        </r>
      </text>
    </comment>
    <comment ref="I11" authorId="0" shapeId="0" xr:uid="{00000000-0006-0000-0400-000003000000}">
      <text>
        <r>
          <rPr>
            <b/>
            <sz val="8"/>
            <color indexed="81"/>
            <rFont val="Tahoma"/>
            <family val="2"/>
          </rPr>
          <t>ssovandavy:</t>
        </r>
        <r>
          <rPr>
            <sz val="8"/>
            <color indexed="81"/>
            <rFont val="Tahoma"/>
            <family val="2"/>
          </rPr>
          <t xml:space="preserve">
Ms. Satya start on 9 May'96, new post on 2 Dec'12</t>
        </r>
      </text>
    </comment>
    <comment ref="I12" authorId="0" shapeId="0" xr:uid="{00000000-0006-0000-0400-000004000000}">
      <text>
        <r>
          <rPr>
            <b/>
            <sz val="8"/>
            <color indexed="81"/>
            <rFont val="Tahoma"/>
            <family val="2"/>
          </rPr>
          <t>ssovandavy:</t>
        </r>
        <r>
          <rPr>
            <sz val="8"/>
            <color indexed="81"/>
            <rFont val="Tahoma"/>
            <family val="2"/>
          </rPr>
          <t xml:space="preserve">
Mr. Bunthong start on 1 Apr'13</t>
        </r>
      </text>
    </comment>
    <comment ref="I13" authorId="0" shapeId="0" xr:uid="{00000000-0006-0000-0400-000005000000}">
      <text>
        <r>
          <rPr>
            <b/>
            <sz val="8"/>
            <color indexed="81"/>
            <rFont val="Tahoma"/>
            <family val="2"/>
          </rPr>
          <t>ssovandavy:</t>
        </r>
        <r>
          <rPr>
            <sz val="8"/>
            <color indexed="81"/>
            <rFont val="Tahoma"/>
            <family val="2"/>
          </rPr>
          <t xml:space="preserve">
Ms. Eng Rotha start on 1 Jan'03, new post on 2 Dec'12</t>
        </r>
      </text>
    </comment>
    <comment ref="C14" authorId="1" shapeId="0" xr:uid="{00000000-0006-0000-0400-000006000000}">
      <text>
        <r>
          <rPr>
            <b/>
            <sz val="9"/>
            <color indexed="81"/>
            <rFont val="Tahoma"/>
            <family val="2"/>
          </rPr>
          <t>Om Sitha: She start to work for new position on 01 Jan'17</t>
        </r>
        <r>
          <rPr>
            <sz val="9"/>
            <color indexed="81"/>
            <rFont val="Tahoma"/>
            <family val="2"/>
          </rPr>
          <t xml:space="preserve">
</t>
        </r>
      </text>
    </comment>
    <comment ref="I14" authorId="2" shapeId="0" xr:uid="{00000000-0006-0000-0400-000007000000}">
      <text>
        <r>
          <rPr>
            <b/>
            <sz val="8"/>
            <color indexed="81"/>
            <rFont val="Tahoma"/>
            <family val="2"/>
          </rPr>
          <t>csok:</t>
        </r>
        <r>
          <rPr>
            <sz val="8"/>
            <color indexed="81"/>
            <rFont val="Tahoma"/>
            <family val="2"/>
          </rPr>
          <t xml:space="preserve">
Ms. Polin started on 26th Oct,10</t>
        </r>
      </text>
    </comment>
    <comment ref="I15" authorId="0" shapeId="0" xr:uid="{00000000-0006-0000-0400-000008000000}">
      <text>
        <r>
          <rPr>
            <b/>
            <sz val="8"/>
            <color indexed="81"/>
            <rFont val="Tahoma"/>
            <family val="2"/>
          </rPr>
          <t>ssovandavy:</t>
        </r>
        <r>
          <rPr>
            <sz val="8"/>
            <color indexed="81"/>
            <rFont val="Tahoma"/>
            <family val="2"/>
          </rPr>
          <t xml:space="preserve">
Ms. Duong Keo start on 15 Jul'95</t>
        </r>
      </text>
    </comment>
    <comment ref="I16" authorId="0" shapeId="0" xr:uid="{00000000-0006-0000-0400-000009000000}">
      <text>
        <r>
          <rPr>
            <b/>
            <sz val="8"/>
            <color indexed="81"/>
            <rFont val="Tahoma"/>
            <family val="2"/>
          </rPr>
          <t>ssovandavy:</t>
        </r>
        <r>
          <rPr>
            <sz val="8"/>
            <color indexed="81"/>
            <rFont val="Tahoma"/>
            <family val="2"/>
          </rPr>
          <t xml:space="preserve">
Ms. Hoeung start on 15 May'93</t>
        </r>
      </text>
    </comment>
    <comment ref="I17" authorId="2" shapeId="0" xr:uid="{00000000-0006-0000-0400-00000A000000}">
      <text>
        <r>
          <rPr>
            <b/>
            <sz val="8"/>
            <color indexed="81"/>
            <rFont val="Tahoma"/>
            <family val="2"/>
          </rPr>
          <t>csok:</t>
        </r>
        <r>
          <rPr>
            <sz val="8"/>
            <color indexed="81"/>
            <rFont val="Tahoma"/>
            <family val="2"/>
          </rPr>
          <t xml:space="preserve">
 Mr. So Karuna started on 19th July ,10</t>
        </r>
      </text>
    </comment>
    <comment ref="I18" authorId="1" shapeId="0" xr:uid="{00000000-0006-0000-0400-00000B000000}">
      <text>
        <r>
          <rPr>
            <b/>
            <sz val="9"/>
            <color indexed="81"/>
            <rFont val="Tahoma"/>
            <family val="2"/>
          </rPr>
          <t>Om Sitha:he start to work on 28 Dec'16</t>
        </r>
        <r>
          <rPr>
            <sz val="9"/>
            <color indexed="81"/>
            <rFont val="Tahoma"/>
            <family val="2"/>
          </rPr>
          <t xml:space="preserve">
</t>
        </r>
      </text>
    </comment>
    <comment ref="I19" authorId="1" shapeId="0" xr:uid="{00000000-0006-0000-0400-00000C000000}">
      <text>
        <r>
          <rPr>
            <sz val="9"/>
            <color indexed="81"/>
            <rFont val="Tahoma"/>
            <family val="2"/>
          </rPr>
          <t xml:space="preserve">Ms.Om Sitha: started on 14 Sep 015
</t>
        </r>
      </text>
    </comment>
    <comment ref="I20" authorId="2" shapeId="0" xr:uid="{00000000-0006-0000-0400-00000D000000}">
      <text>
        <r>
          <rPr>
            <b/>
            <sz val="8"/>
            <color indexed="81"/>
            <rFont val="Tahoma"/>
            <family val="2"/>
          </rPr>
          <t>Ssovandavy:</t>
        </r>
        <r>
          <rPr>
            <sz val="8"/>
            <color indexed="81"/>
            <rFont val="Tahoma"/>
            <family val="2"/>
          </rPr>
          <t xml:space="preserve">
Ms. Bora start to work on 02 </t>
        </r>
      </text>
    </comment>
    <comment ref="I22" authorId="1" shapeId="0" xr:uid="{00000000-0006-0000-0400-00000E000000}">
      <text>
        <r>
          <rPr>
            <b/>
            <sz val="9"/>
            <color indexed="81"/>
            <rFont val="Tahoma"/>
            <family val="2"/>
          </rPr>
          <t>Om Sitha:</t>
        </r>
        <r>
          <rPr>
            <sz val="9"/>
            <color indexed="81"/>
            <rFont val="Tahoma"/>
            <family val="2"/>
          </rPr>
          <t xml:space="preserve">
He started with New Position on 01 May 2018</t>
        </r>
      </text>
    </comment>
    <comment ref="I23" authorId="0" shapeId="0" xr:uid="{00000000-0006-0000-0400-00000F000000}">
      <text>
        <r>
          <rPr>
            <b/>
            <sz val="8"/>
            <color indexed="81"/>
            <rFont val="Tahoma"/>
            <family val="2"/>
          </rPr>
          <t>ssovandavy:</t>
        </r>
        <r>
          <rPr>
            <sz val="8"/>
            <color indexed="81"/>
            <rFont val="Tahoma"/>
            <family val="2"/>
          </rPr>
          <t xml:space="preserve">
Mr. Chea Vibol started on 23 April 2012</t>
        </r>
      </text>
    </comment>
    <comment ref="I24" authorId="1" shapeId="0" xr:uid="{00000000-0006-0000-0400-000010000000}">
      <text>
        <r>
          <rPr>
            <sz val="9"/>
            <color indexed="81"/>
            <rFont val="Tahoma"/>
            <family val="2"/>
          </rPr>
          <t xml:space="preserve">Ms. Tou Chandara started on 01 Sep 15
</t>
        </r>
      </text>
    </comment>
    <comment ref="I25" authorId="1" shapeId="0" xr:uid="{00000000-0006-0000-0400-000011000000}">
      <text>
        <r>
          <rPr>
            <b/>
            <sz val="9"/>
            <color indexed="81"/>
            <rFont val="Tahoma"/>
            <family val="2"/>
          </rPr>
          <t>Om Sitha:</t>
        </r>
        <r>
          <rPr>
            <sz val="9"/>
            <color indexed="81"/>
            <rFont val="Tahoma"/>
            <family val="2"/>
          </rPr>
          <t xml:space="preserve">
She sart work with CCC 05 Nov'18</t>
        </r>
      </text>
    </comment>
    <comment ref="I26" authorId="1" shapeId="0" xr:uid="{00000000-0006-0000-0400-000012000000}">
      <text>
        <r>
          <rPr>
            <b/>
            <sz val="9"/>
            <color indexed="81"/>
            <rFont val="Tahoma"/>
            <family val="2"/>
          </rPr>
          <t>Om Sitha:</t>
        </r>
        <r>
          <rPr>
            <sz val="9"/>
            <color indexed="81"/>
            <rFont val="Tahoma"/>
            <family val="2"/>
          </rPr>
          <t xml:space="preserve">
He start with CCC on 04 June'18</t>
        </r>
      </text>
    </comment>
    <comment ref="I28" authorId="0" shapeId="0" xr:uid="{00000000-0006-0000-0400-000013000000}">
      <text>
        <r>
          <rPr>
            <b/>
            <sz val="8"/>
            <color indexed="81"/>
            <rFont val="Tahoma"/>
            <family val="2"/>
          </rPr>
          <t>ssovandavy:</t>
        </r>
        <r>
          <rPr>
            <sz val="8"/>
            <color indexed="81"/>
            <rFont val="Tahoma"/>
            <family val="2"/>
          </rPr>
          <t xml:space="preserve">
Mr.Typo start on 22 Jul'13</t>
        </r>
      </text>
    </comment>
    <comment ref="I29" authorId="0" shapeId="0" xr:uid="{00000000-0006-0000-0400-000014000000}">
      <text>
        <r>
          <rPr>
            <b/>
            <sz val="8"/>
            <color indexed="81"/>
            <rFont val="Tahoma"/>
            <family val="2"/>
          </rPr>
          <t>ssovandavy:</t>
        </r>
        <r>
          <rPr>
            <sz val="8"/>
            <color indexed="81"/>
            <rFont val="Tahoma"/>
            <family val="2"/>
          </rPr>
          <t xml:space="preserve">
Mr. Sovann start on 15 Jun'2005</t>
        </r>
      </text>
    </comment>
    <comment ref="I30" authorId="1" shapeId="0" xr:uid="{00000000-0006-0000-0400-000015000000}">
      <text>
        <r>
          <rPr>
            <b/>
            <sz val="9"/>
            <color indexed="81"/>
            <rFont val="Tahoma"/>
            <family val="2"/>
          </rPr>
          <t>Om Sitha:</t>
        </r>
        <r>
          <rPr>
            <sz val="9"/>
            <color indexed="81"/>
            <rFont val="Tahoma"/>
            <family val="2"/>
          </rPr>
          <t xml:space="preserve">
She start on 13 Feb'17</t>
        </r>
      </text>
    </comment>
    <comment ref="I31" authorId="3" shapeId="0" xr:uid="{00000000-0006-0000-0400-000016000000}">
      <text>
        <r>
          <rPr>
            <b/>
            <sz val="9"/>
            <color indexed="81"/>
            <rFont val="Tahoma"/>
            <family val="2"/>
          </rPr>
          <t>bora.dim:</t>
        </r>
        <r>
          <rPr>
            <sz val="9"/>
            <color indexed="81"/>
            <rFont val="Tahoma"/>
            <family val="2"/>
          </rPr>
          <t xml:space="preserve">
Start 01 March 2018
</t>
        </r>
      </text>
    </comment>
    <comment ref="C33" authorId="3" shapeId="0" xr:uid="{00000000-0006-0000-0400-000017000000}">
      <text>
        <r>
          <rPr>
            <b/>
            <sz val="9"/>
            <color indexed="81"/>
            <rFont val="Tahoma"/>
            <family val="2"/>
          </rPr>
          <t>bora.dim:</t>
        </r>
        <r>
          <rPr>
            <sz val="9"/>
            <color indexed="81"/>
            <rFont val="Tahoma"/>
            <family val="2"/>
          </rPr>
          <t xml:space="preserve">
Start 19 Feb'18</t>
        </r>
      </text>
    </comment>
    <comment ref="I33" authorId="1" shapeId="0" xr:uid="{00000000-0006-0000-0400-000018000000}">
      <text>
        <r>
          <rPr>
            <b/>
            <sz val="9"/>
            <color indexed="81"/>
            <rFont val="Tahoma"/>
            <family val="2"/>
          </rPr>
          <t>Om Sitha:</t>
        </r>
        <r>
          <rPr>
            <sz val="9"/>
            <color indexed="81"/>
            <rFont val="Tahoma"/>
            <family val="2"/>
          </rPr>
          <t xml:space="preserve">
He start to work with CCC on 12 Feb'18 He start on the CAN Manager on 01 Nov'18</t>
        </r>
      </text>
    </comment>
    <comment ref="I34" authorId="1" shapeId="0" xr:uid="{00000000-0006-0000-0400-000019000000}">
      <text>
        <r>
          <rPr>
            <b/>
            <sz val="9"/>
            <color indexed="81"/>
            <rFont val="Tahoma"/>
            <family val="2"/>
          </rPr>
          <t>Om Sitha:He start with CCC on 02 July'18</t>
        </r>
      </text>
    </comment>
    <comment ref="I36" authorId="3" shapeId="0" xr:uid="{00000000-0006-0000-0400-00001A000000}">
      <text>
        <r>
          <rPr>
            <b/>
            <sz val="9"/>
            <color indexed="81"/>
            <rFont val="Tahoma"/>
            <family val="2"/>
          </rPr>
          <t>bora.dim:</t>
        </r>
        <r>
          <rPr>
            <sz val="9"/>
            <color indexed="81"/>
            <rFont val="Tahoma"/>
            <family val="2"/>
          </rPr>
          <t xml:space="preserve">
Start on 02 July'18
</t>
        </r>
      </text>
    </comment>
    <comment ref="I38" authorId="2" shapeId="0" xr:uid="{00000000-0006-0000-0400-00001B000000}">
      <text>
        <r>
          <rPr>
            <b/>
            <sz val="8"/>
            <color indexed="81"/>
            <rFont val="Tahoma"/>
            <family val="2"/>
          </rPr>
          <t>csok:</t>
        </r>
        <r>
          <rPr>
            <sz val="8"/>
            <color indexed="81"/>
            <rFont val="Tahoma"/>
            <family val="2"/>
          </rPr>
          <t xml:space="preserve">
Ms. Sin Putheary start on 3 Mar'14</t>
        </r>
      </text>
    </comment>
    <comment ref="I39" authorId="0" shapeId="0" xr:uid="{00000000-0006-0000-0400-00001C000000}">
      <text>
        <r>
          <rPr>
            <b/>
            <sz val="8"/>
            <color indexed="81"/>
            <rFont val="Tahoma"/>
            <family val="2"/>
          </rPr>
          <t>ssovandavy:</t>
        </r>
        <r>
          <rPr>
            <sz val="8"/>
            <color indexed="81"/>
            <rFont val="Tahoma"/>
            <family val="2"/>
          </rPr>
          <t xml:space="preserve">
Mr. Sochoeun start on 24 Feb'09</t>
        </r>
      </text>
    </comment>
    <comment ref="I40" authorId="1" shapeId="0" xr:uid="{00000000-0006-0000-0400-00001D000000}">
      <text>
        <r>
          <rPr>
            <b/>
            <sz val="9"/>
            <color indexed="81"/>
            <rFont val="Tahoma"/>
            <family val="2"/>
          </rPr>
          <t>Om Sitha:</t>
        </r>
        <r>
          <rPr>
            <sz val="9"/>
            <color indexed="81"/>
            <rFont val="Tahoma"/>
            <family val="2"/>
          </rPr>
          <t xml:space="preserve">
She start to work from 26 Sep'17</t>
        </r>
      </text>
    </comment>
    <comment ref="I41" authorId="1" shapeId="0" xr:uid="{00000000-0006-0000-0400-00001E000000}">
      <text>
        <r>
          <rPr>
            <b/>
            <sz val="9"/>
            <color indexed="81"/>
            <rFont val="Tahoma"/>
            <family val="2"/>
          </rPr>
          <t>Om Sitha:</t>
        </r>
        <r>
          <rPr>
            <sz val="9"/>
            <color indexed="81"/>
            <rFont val="Tahoma"/>
            <family val="2"/>
          </rPr>
          <t xml:space="preserve">
he started to work on 22 May 2018</t>
        </r>
      </text>
    </comment>
    <comment ref="I42" authorId="1" shapeId="0" xr:uid="{00000000-0006-0000-0400-00001F000000}">
      <text>
        <r>
          <rPr>
            <b/>
            <sz val="9"/>
            <color indexed="81"/>
            <rFont val="Tahoma"/>
            <family val="2"/>
          </rPr>
          <t>Om Sitha:</t>
        </r>
        <r>
          <rPr>
            <sz val="9"/>
            <color indexed="81"/>
            <rFont val="Tahoma"/>
            <family val="2"/>
          </rPr>
          <t xml:space="preserve">
07 May 2018</t>
        </r>
      </text>
    </comment>
    <comment ref="I43" authorId="0" shapeId="0" xr:uid="{00000000-0006-0000-0400-000020000000}">
      <text>
        <r>
          <rPr>
            <b/>
            <sz val="8"/>
            <color indexed="81"/>
            <rFont val="Tahoma"/>
            <family val="2"/>
          </rPr>
          <t>Om Sitha:</t>
        </r>
        <r>
          <rPr>
            <sz val="8"/>
            <color indexed="81"/>
            <rFont val="Tahoma"/>
            <family val="2"/>
          </rPr>
          <t xml:space="preserve">
Ms. Chan Somary start work on 02 April'18</t>
        </r>
      </text>
    </comment>
    <comment ref="I45" authorId="3" shapeId="0" xr:uid="{00000000-0006-0000-0400-000021000000}">
      <text>
        <r>
          <rPr>
            <b/>
            <sz val="9"/>
            <color indexed="81"/>
            <rFont val="Tahoma"/>
            <family val="2"/>
          </rPr>
          <t>bora.dim:</t>
        </r>
        <r>
          <rPr>
            <sz val="9"/>
            <color indexed="81"/>
            <rFont val="Tahoma"/>
            <family val="2"/>
          </rPr>
          <t xml:space="preserve">
Start new position on 14 Mar'18
</t>
        </r>
      </text>
    </comment>
  </commentList>
</comments>
</file>

<file path=xl/sharedStrings.xml><?xml version="1.0" encoding="utf-8"?>
<sst xmlns="http://schemas.openxmlformats.org/spreadsheetml/2006/main" count="1105" uniqueCount="714">
  <si>
    <t>Cash on hand and at bank</t>
  </si>
  <si>
    <t>Account receivable</t>
  </si>
  <si>
    <t xml:space="preserve">Building </t>
  </si>
  <si>
    <t>Acc.depre. Building</t>
  </si>
  <si>
    <t>Office Equipment</t>
  </si>
  <si>
    <t>Acc. Depre. Off Equipment</t>
  </si>
  <si>
    <t>Vehicles</t>
  </si>
  <si>
    <t>Acc.depre. Vehicles</t>
  </si>
  <si>
    <t xml:space="preserve">Computers </t>
  </si>
  <si>
    <t>Acc.depre. Computers</t>
  </si>
  <si>
    <t xml:space="preserve">Deposit on rental </t>
  </si>
  <si>
    <t>Prepaid expense</t>
  </si>
  <si>
    <t>Account payable</t>
  </si>
  <si>
    <t>Accrued salary</t>
  </si>
  <si>
    <t>Other accrual</t>
  </si>
  <si>
    <t>Monthly Tax Payable</t>
  </si>
  <si>
    <t>Profit tax payable</t>
  </si>
  <si>
    <t>Capital</t>
  </si>
  <si>
    <t>Retained Earning</t>
  </si>
  <si>
    <t>Result for the year</t>
  </si>
  <si>
    <t>Interest income</t>
  </si>
  <si>
    <t>Other income</t>
  </si>
  <si>
    <t>Salaries expenses</t>
  </si>
  <si>
    <t>Travelling expenses</t>
  </si>
  <si>
    <t xml:space="preserve">Rental  expense </t>
  </si>
  <si>
    <t xml:space="preserve">Repair and  maintenance </t>
  </si>
  <si>
    <t>Management Services expense</t>
  </si>
  <si>
    <t>Office expense</t>
  </si>
  <si>
    <t>Insurance expense</t>
  </si>
  <si>
    <t xml:space="preserve">Bank charge </t>
  </si>
  <si>
    <t>Phones expenses</t>
  </si>
  <si>
    <t>Realized exchange loss</t>
  </si>
  <si>
    <t xml:space="preserve">Depreciation expense </t>
  </si>
  <si>
    <t>Utilities expenses</t>
  </si>
  <si>
    <t>P&amp;L</t>
  </si>
  <si>
    <t>B&amp;S</t>
  </si>
  <si>
    <t>Software and license</t>
  </si>
  <si>
    <t>Acc.depre. Software and license</t>
  </si>
  <si>
    <t>Donation</t>
  </si>
  <si>
    <t>ABC NGO</t>
  </si>
  <si>
    <t>Encode TB</t>
  </si>
  <si>
    <t>A0</t>
  </si>
  <si>
    <t>A01</t>
  </si>
  <si>
    <t>A02</t>
  </si>
  <si>
    <t>A03</t>
  </si>
  <si>
    <t>A04</t>
  </si>
  <si>
    <t>A05</t>
  </si>
  <si>
    <t>A06</t>
  </si>
  <si>
    <t>A07</t>
  </si>
  <si>
    <t>A08</t>
  </si>
  <si>
    <t>A09</t>
  </si>
  <si>
    <t>A10</t>
  </si>
  <si>
    <t>A11</t>
  </si>
  <si>
    <t>A12</t>
  </si>
  <si>
    <t>A13</t>
  </si>
  <si>
    <t>A14</t>
  </si>
  <si>
    <t>A15</t>
  </si>
  <si>
    <t>A16</t>
  </si>
  <si>
    <t>A17</t>
  </si>
  <si>
    <t>A18</t>
  </si>
  <si>
    <t>A19</t>
  </si>
  <si>
    <t>A20</t>
  </si>
  <si>
    <t>A21</t>
  </si>
  <si>
    <t>A22</t>
  </si>
  <si>
    <t>A23</t>
  </si>
  <si>
    <t>A24</t>
  </si>
  <si>
    <t>A25</t>
  </si>
  <si>
    <t>A26</t>
  </si>
  <si>
    <t>A27</t>
  </si>
  <si>
    <t>A28</t>
  </si>
  <si>
    <t>A29</t>
  </si>
  <si>
    <t>A30</t>
  </si>
  <si>
    <t>A31</t>
  </si>
  <si>
    <t>A32</t>
  </si>
  <si>
    <t>A33</t>
  </si>
  <si>
    <t>A34</t>
  </si>
  <si>
    <t>A35</t>
  </si>
  <si>
    <t>A36</t>
  </si>
  <si>
    <t>A37</t>
  </si>
  <si>
    <t>A38</t>
  </si>
  <si>
    <t>A39</t>
  </si>
  <si>
    <t>A40</t>
  </si>
  <si>
    <t>A41</t>
  </si>
  <si>
    <t>A42</t>
  </si>
  <si>
    <t>A43</t>
  </si>
  <si>
    <t>A44</t>
  </si>
  <si>
    <t>A45</t>
  </si>
  <si>
    <t>A46</t>
  </si>
  <si>
    <t>A47</t>
  </si>
  <si>
    <t>A48</t>
  </si>
  <si>
    <t>A49</t>
  </si>
  <si>
    <t>A50</t>
  </si>
  <si>
    <t>B0</t>
  </si>
  <si>
    <t>B01</t>
  </si>
  <si>
    <t>B02</t>
  </si>
  <si>
    <t>B03</t>
  </si>
  <si>
    <t>B04</t>
  </si>
  <si>
    <t>B05</t>
  </si>
  <si>
    <t>B05a</t>
  </si>
  <si>
    <t>B06</t>
  </si>
  <si>
    <t>B07</t>
  </si>
  <si>
    <t>B08</t>
  </si>
  <si>
    <t>B09</t>
  </si>
  <si>
    <t>B10</t>
  </si>
  <si>
    <t>B11</t>
  </si>
  <si>
    <t>B12</t>
  </si>
  <si>
    <t>B13</t>
  </si>
  <si>
    <t>B14</t>
  </si>
  <si>
    <t>B15</t>
  </si>
  <si>
    <t>B16</t>
  </si>
  <si>
    <t>B17</t>
  </si>
  <si>
    <t>B18</t>
  </si>
  <si>
    <t>B19</t>
  </si>
  <si>
    <t>B20</t>
  </si>
  <si>
    <t>B21</t>
  </si>
  <si>
    <t>B22</t>
  </si>
  <si>
    <t>B23</t>
  </si>
  <si>
    <t>B24</t>
  </si>
  <si>
    <t>B25</t>
  </si>
  <si>
    <t>B26</t>
  </si>
  <si>
    <t>B27</t>
  </si>
  <si>
    <t>B28</t>
  </si>
  <si>
    <t>B29</t>
  </si>
  <si>
    <t>B30</t>
  </si>
  <si>
    <t>B31</t>
  </si>
  <si>
    <t>B32</t>
  </si>
  <si>
    <t>B33</t>
  </si>
  <si>
    <t>B34</t>
  </si>
  <si>
    <t>B35</t>
  </si>
  <si>
    <t>B36</t>
  </si>
  <si>
    <t>B37</t>
  </si>
  <si>
    <t>B38</t>
  </si>
  <si>
    <t>B39</t>
  </si>
  <si>
    <t>B40</t>
  </si>
  <si>
    <t>B41</t>
  </si>
  <si>
    <t>B42</t>
  </si>
  <si>
    <t>B43</t>
  </si>
  <si>
    <t>B44</t>
  </si>
  <si>
    <t>Non-current assets/fixed assets (A1=Sum(A2:A12))</t>
  </si>
  <si>
    <t>Freehold Land</t>
  </si>
  <si>
    <t>Improvements and preparation of land</t>
  </si>
  <si>
    <t>Freehold buildings</t>
  </si>
  <si>
    <t>Freehold buildings on leasehold land</t>
  </si>
  <si>
    <t>Non-current assets in progress</t>
  </si>
  <si>
    <t>Plant and equipment</t>
  </si>
  <si>
    <t>Goodwill</t>
  </si>
  <si>
    <t>Preliminary and formation expenses</t>
  </si>
  <si>
    <t xml:space="preserve">Leasehold assets and lease premiums </t>
  </si>
  <si>
    <t>Investment in other enterprise</t>
  </si>
  <si>
    <t>Other non-current assets</t>
  </si>
  <si>
    <t>Current assets [A13=Sum(A14:A25)]</t>
  </si>
  <si>
    <t>Stock of raw materials and supplies</t>
  </si>
  <si>
    <t>Stocks of goods</t>
  </si>
  <si>
    <t>Stocks of finished goods</t>
  </si>
  <si>
    <t>Products in progress</t>
  </si>
  <si>
    <t>Accounts receivable/trade debtors</t>
  </si>
  <si>
    <t>Other account receivables</t>
  </si>
  <si>
    <t>Prepaid expenses</t>
  </si>
  <si>
    <t>Cash on hand and at banks</t>
  </si>
  <si>
    <t xml:space="preserve">Prepayment of profit tax credit </t>
  </si>
  <si>
    <t>Value added tax credit</t>
  </si>
  <si>
    <t>Other taxes credit</t>
  </si>
  <si>
    <t>Other current assets</t>
  </si>
  <si>
    <t>Differences arising from currency translation in assets</t>
  </si>
  <si>
    <t>Equity and liabilities [A27=sum(A28+A36+A41)]</t>
  </si>
  <si>
    <t>Equity [A28=sum(A29:A35)]</t>
  </si>
  <si>
    <t>Capital/Share capital</t>
  </si>
  <si>
    <t>Share premium</t>
  </si>
  <si>
    <t>Legal capital reserves</t>
  </si>
  <si>
    <t>Reserves revaluation  surplus of assets</t>
  </si>
  <si>
    <t>Other capital reserves</t>
  </si>
  <si>
    <t>Profit and loss brought forward (+ or - )</t>
  </si>
  <si>
    <t>Profit and loss for the period ( + or - )</t>
  </si>
  <si>
    <t>Non-current liabilities [A36=sum(A37:A40)]</t>
  </si>
  <si>
    <t>Loan from related parties</t>
  </si>
  <si>
    <t>Loan from banks and other external parties</t>
  </si>
  <si>
    <t>Provision for charges and contigencies</t>
  </si>
  <si>
    <t>Other non-current liabilities</t>
  </si>
  <si>
    <t>Current liabilities [A41=sum(A42:A50)]</t>
  </si>
  <si>
    <t xml:space="preserve">Bank overdraft </t>
  </si>
  <si>
    <t>Short-term borrowing-current portion of interest bearing borrowing</t>
  </si>
  <si>
    <t>Accounts payable to related parties</t>
  </si>
  <si>
    <t xml:space="preserve">Other accounts payable, </t>
  </si>
  <si>
    <t>Unearned revenue, accruals and other current liabilities</t>
  </si>
  <si>
    <t>Other taxes payable</t>
  </si>
  <si>
    <t>Differences arising from currency translation in liabilities</t>
  </si>
  <si>
    <t>Operating revenue  [B0=Sum(B1:B3)]</t>
  </si>
  <si>
    <t>Sales of  manufactured products</t>
  </si>
  <si>
    <t>Sales of goods</t>
  </si>
  <si>
    <t>Sales/Supply of services</t>
  </si>
  <si>
    <t>Cost of products sold of production enterprises (TOP 01/V)</t>
  </si>
  <si>
    <t>Cost of goods sold of non- production enterprises (TOP 01/ VI)</t>
  </si>
  <si>
    <t>Costs of services supplied</t>
  </si>
  <si>
    <t>Gross profit  (B6=B0-B4-B5-B5a)</t>
  </si>
  <si>
    <t>Other revenue  [B7=Sum(B8:B18)]</t>
  </si>
  <si>
    <t>Grant/subsidy</t>
  </si>
  <si>
    <t>Dividend  received or receivable</t>
  </si>
  <si>
    <t>Interest  received or receivable</t>
  </si>
  <si>
    <t>Royalty  received or receivable</t>
  </si>
  <si>
    <t>Rental  received or receivable</t>
  </si>
  <si>
    <t>Gain from disposal of fixed assets (captital gain)</t>
  </si>
  <si>
    <t>Gain from disposal of securities</t>
  </si>
  <si>
    <t>Share of profit from joint venture</t>
  </si>
  <si>
    <t>Realised exchange gain</t>
  </si>
  <si>
    <t>Unrealised exchange gain</t>
  </si>
  <si>
    <t>Other revenues</t>
  </si>
  <si>
    <t>Operating expenses [B19=Sum(B20:B38)]</t>
  </si>
  <si>
    <t>Fuel, electricity and water expenses</t>
  </si>
  <si>
    <t>Travelling and accommodation expenses</t>
  </si>
  <si>
    <t>Transportation expenses</t>
  </si>
  <si>
    <t xml:space="preserve">Rental expenses </t>
  </si>
  <si>
    <t>Repair and maintenance  expenses</t>
  </si>
  <si>
    <t>Entertainment expenses</t>
  </si>
  <si>
    <t>Commission, advertising, and selling  expenses</t>
  </si>
  <si>
    <t>Other taxes expenses</t>
  </si>
  <si>
    <t>Donation expenses</t>
  </si>
  <si>
    <t>Management, consultant, other technical, and other similar services expenses</t>
  </si>
  <si>
    <t xml:space="preserve">Royalty expenses </t>
  </si>
  <si>
    <t>Bad debts written off expenses</t>
  </si>
  <si>
    <t>Armortisation/depletion and depreciation expenses</t>
  </si>
  <si>
    <t>Increase / (decrease) in provisions</t>
  </si>
  <si>
    <t>Loss on disposal of fixed assets</t>
  </si>
  <si>
    <t>Realised exchange loss</t>
  </si>
  <si>
    <t>Unrealised exchange loss</t>
  </si>
  <si>
    <t>Other expenses</t>
  </si>
  <si>
    <t>Profit/(loss) from operations (B39=B6+B7-B19)</t>
  </si>
  <si>
    <t>Interest expenses paid to residents</t>
  </si>
  <si>
    <t>Interest expenses paid to non- residents</t>
  </si>
  <si>
    <t>Profit before tax  [B42=(B39-B40-B41)]</t>
  </si>
  <si>
    <t>Profit tax</t>
  </si>
  <si>
    <t>Net profit after tax ( B44=B42-B43)</t>
  </si>
  <si>
    <t>Assets (A0=A1+ A13)</t>
  </si>
  <si>
    <t>For TOI return</t>
  </si>
  <si>
    <t>Net Income</t>
  </si>
  <si>
    <t>Income</t>
  </si>
  <si>
    <t>Total Income</t>
  </si>
  <si>
    <t>Gross Profit</t>
  </si>
  <si>
    <t>Expense</t>
  </si>
  <si>
    <t>Total Expense</t>
  </si>
  <si>
    <t>BS</t>
  </si>
  <si>
    <t>Exchange rate:</t>
  </si>
  <si>
    <t>Total BS (Khmer)</t>
  </si>
  <si>
    <t>Total P&amp;L (Khmer)</t>
  </si>
  <si>
    <t>Soeung Saroeun</t>
  </si>
  <si>
    <t>El Sotheary</t>
  </si>
  <si>
    <t>Khorn Bunthong</t>
  </si>
  <si>
    <t>Sin Putheary</t>
  </si>
  <si>
    <t>STAFF SALARY FOR THE MONTH OF DECEMBER 2018</t>
  </si>
  <si>
    <t>Month:</t>
  </si>
  <si>
    <t>Rate:</t>
  </si>
  <si>
    <t>Riels per US$</t>
  </si>
  <si>
    <t>Number of</t>
  </si>
  <si>
    <t>Untax amount</t>
  </si>
  <si>
    <t xml:space="preserve">Taxable </t>
  </si>
  <si>
    <t>Tax</t>
  </si>
  <si>
    <t>Salary Add/less</t>
  </si>
  <si>
    <t>Tax on</t>
  </si>
  <si>
    <t>Source of 
Fund</t>
  </si>
  <si>
    <t>No</t>
  </si>
  <si>
    <t>Staff</t>
  </si>
  <si>
    <t>Job</t>
  </si>
  <si>
    <t>Net Salary</t>
  </si>
  <si>
    <t>Seniority</t>
  </si>
  <si>
    <t>Cola</t>
  </si>
  <si>
    <t>Bonus</t>
  </si>
  <si>
    <t>Medical</t>
  </si>
  <si>
    <t xml:space="preserve">Gross Salary Before </t>
  </si>
  <si>
    <t>Gross Salary</t>
  </si>
  <si>
    <t>Salary</t>
  </si>
  <si>
    <t>Dependents</t>
  </si>
  <si>
    <t>of Dependent</t>
  </si>
  <si>
    <t>Amount</t>
  </si>
  <si>
    <t>Rate</t>
  </si>
  <si>
    <t>in Dollars</t>
  </si>
  <si>
    <t>Name</t>
  </si>
  <si>
    <t>Title</t>
  </si>
  <si>
    <t>staff</t>
  </si>
  <si>
    <t>Apr-Dec'18</t>
  </si>
  <si>
    <t>Dec'18</t>
  </si>
  <si>
    <t>Medical,Cola,Bonus</t>
  </si>
  <si>
    <t>Annual salary</t>
  </si>
  <si>
    <t>Provident fund</t>
  </si>
  <si>
    <t>NSSF</t>
  </si>
  <si>
    <t>Senirity</t>
  </si>
  <si>
    <t>Total benefit</t>
  </si>
  <si>
    <t>Total Salary &amp; Benefits (USD)</t>
  </si>
  <si>
    <t>Total Salary &amp; Benefits (KH)</t>
  </si>
  <si>
    <t>and Medical,Cola,Bonus</t>
  </si>
  <si>
    <t>in Riel</t>
  </si>
  <si>
    <t>Child</t>
  </si>
  <si>
    <t>Spouse</t>
  </si>
  <si>
    <t>Total</t>
  </si>
  <si>
    <t>Seperation</t>
  </si>
  <si>
    <t>Advance</t>
  </si>
  <si>
    <t>in USD</t>
  </si>
  <si>
    <t>Dec/25/2010</t>
  </si>
  <si>
    <t>Executive Director</t>
  </si>
  <si>
    <t>Head of Program</t>
  </si>
  <si>
    <t>Soeung Satya</t>
  </si>
  <si>
    <t>Human Resource Specialist</t>
  </si>
  <si>
    <t>Head of Operations</t>
  </si>
  <si>
    <t>Eng Rotha</t>
  </si>
  <si>
    <t>Support Services Specialist</t>
  </si>
  <si>
    <t>So Polin</t>
  </si>
  <si>
    <t>Admin Officer</t>
  </si>
  <si>
    <t>Duong Keo</t>
  </si>
  <si>
    <t>Cleaner</t>
  </si>
  <si>
    <t>Pen Hoeung</t>
  </si>
  <si>
    <t>Soy Bora</t>
  </si>
  <si>
    <t>Driver/Messenger</t>
  </si>
  <si>
    <t>Core</t>
  </si>
  <si>
    <t>Om Nareth</t>
  </si>
  <si>
    <t>Finance Specialist</t>
  </si>
  <si>
    <t>Om Sitha</t>
  </si>
  <si>
    <t>Finance Officer</t>
  </si>
  <si>
    <t>Dim Bora</t>
  </si>
  <si>
    <t>Finance Assistant</t>
  </si>
  <si>
    <t>Sub-Total</t>
  </si>
  <si>
    <t>Chan Pheakdey</t>
  </si>
  <si>
    <t>GPP Manager</t>
  </si>
  <si>
    <t>Chea Vibol</t>
  </si>
  <si>
    <t>GPP Specialist</t>
  </si>
  <si>
    <t>Tou Chandara</t>
  </si>
  <si>
    <t>Pheng Chandy</t>
  </si>
  <si>
    <t>Kim Sereyneath</t>
  </si>
  <si>
    <t>GPP Assistant</t>
  </si>
  <si>
    <t>Soeung Typo</t>
  </si>
  <si>
    <t>Business and Capacity Development Manager</t>
  </si>
  <si>
    <t>Sok  Sovann</t>
  </si>
  <si>
    <t>Monitoring &amp;Coaching Specialist</t>
  </si>
  <si>
    <t>Sreng Sophorn Lakhena</t>
  </si>
  <si>
    <t>CD Assistant</t>
  </si>
  <si>
    <t>Vang Sean</t>
  </si>
  <si>
    <t>M&amp;E and reporting specialist</t>
  </si>
  <si>
    <t>Yoeurng Sotheara</t>
  </si>
  <si>
    <t>CAN Manager</t>
  </si>
  <si>
    <t>Ry Sovanna</t>
  </si>
  <si>
    <t>Research and Policy Specialist</t>
  </si>
  <si>
    <t>Nong Neat Norak</t>
  </si>
  <si>
    <t>Resource Mobilization Manager</t>
  </si>
  <si>
    <t>Head of Coms and Member Development</t>
  </si>
  <si>
    <t>Chen Sochoeun</t>
  </si>
  <si>
    <t>Memberdevelopment Manager</t>
  </si>
  <si>
    <t>Luy Theary</t>
  </si>
  <si>
    <t>Do No Harm Project Coordinator</t>
  </si>
  <si>
    <t>Chhouk Phal Puthiridh</t>
  </si>
  <si>
    <t>Communications Specialist</t>
  </si>
  <si>
    <t>Chan Bunthoeun</t>
  </si>
  <si>
    <t>IT Officer</t>
  </si>
  <si>
    <t>Chan Somaly</t>
  </si>
  <si>
    <t>Membership and networking Specialist</t>
  </si>
  <si>
    <t>Ouk Sovansathya</t>
  </si>
  <si>
    <t>Database and knowledge Management Specialist</t>
  </si>
  <si>
    <t>Ye Sokvutheavy</t>
  </si>
  <si>
    <t>CMD Assistant</t>
  </si>
  <si>
    <t>Grand-Total</t>
  </si>
  <si>
    <t xml:space="preserve">1. Ms. Chan Somaly = Basic salary $428.00($ 856*50%) She get monthly salary only 50% because she worked for CCC not yet 1 year (Based on the CCC Posenel Policy </t>
  </si>
  <si>
    <t xml:space="preserve"> 5.2.4 Female staff members who have worked for CCC for less than one year are entitled to 90 days maternity leave at half pay salary and full pay benefits in cash and in kind.</t>
  </si>
  <si>
    <t>2.Ms. Ye Sokvutheary = Basic Salary $300.00+ Over Time $81.78</t>
  </si>
  <si>
    <t xml:space="preserve">Prepared by  </t>
  </si>
  <si>
    <t>: …………………………</t>
  </si>
  <si>
    <t xml:space="preserve">Reviewed by  </t>
  </si>
  <si>
    <t xml:space="preserve">              Verified by  </t>
  </si>
  <si>
    <t xml:space="preserve">Approved by  </t>
  </si>
  <si>
    <t>: ………………………….</t>
  </si>
  <si>
    <t xml:space="preserve">Name            </t>
  </si>
  <si>
    <t>: Om Sitha</t>
  </si>
  <si>
    <t>: Om Nareth</t>
  </si>
  <si>
    <t xml:space="preserve">               Name            </t>
  </si>
  <si>
    <t>: Khorn Bunthong</t>
  </si>
  <si>
    <t>: Soeung Saroeun</t>
  </si>
  <si>
    <t xml:space="preserve">Position         </t>
  </si>
  <si>
    <t>: Finance Officer</t>
  </si>
  <si>
    <t>: Finance Specialist</t>
  </si>
  <si>
    <t xml:space="preserve">               Position         </t>
  </si>
  <si>
    <t>: Head of Operations</t>
  </si>
  <si>
    <t xml:space="preserve">Position        </t>
  </si>
  <si>
    <t>:Executive Director</t>
  </si>
  <si>
    <t>3000 · Income</t>
  </si>
  <si>
    <t>Total 3000 · Income</t>
  </si>
  <si>
    <t>4000 · Expense</t>
  </si>
  <si>
    <t>4100 · Client Cost</t>
  </si>
  <si>
    <t>4101 · Accomodation</t>
  </si>
  <si>
    <t>4102 · Transport</t>
  </si>
  <si>
    <t>4103 · Food</t>
  </si>
  <si>
    <t>4104 · Materials</t>
  </si>
  <si>
    <t>4105 · Care Packages</t>
  </si>
  <si>
    <t>4106 · Counselling Cost</t>
  </si>
  <si>
    <t>4107 · Clothing</t>
  </si>
  <si>
    <t>4108 · School Fees &amp; Supplies</t>
  </si>
  <si>
    <t>4112 · Phone Cards</t>
  </si>
  <si>
    <t>4113 · Medical Cost</t>
  </si>
  <si>
    <t>4114 · Other Cost</t>
  </si>
  <si>
    <t>Total 4100 · Client Cost</t>
  </si>
  <si>
    <t>4200 · Reintegration Cost</t>
  </si>
  <si>
    <t>4201 · Transport</t>
  </si>
  <si>
    <t>4202 · Photocopy</t>
  </si>
  <si>
    <t>Total 4200 · Reintegration Cost</t>
  </si>
  <si>
    <t>4300 · Foster Care Family Cost</t>
  </si>
  <si>
    <t>4301 · Materials</t>
  </si>
  <si>
    <t>4302 · Emergency Food</t>
  </si>
  <si>
    <t>4308 · Medical Cost</t>
  </si>
  <si>
    <t>Total 4300 · Foster Care Family Cost</t>
  </si>
  <si>
    <t>4400 · Government Cost</t>
  </si>
  <si>
    <t>4401 · Accomodation</t>
  </si>
  <si>
    <t>4402 · Transport</t>
  </si>
  <si>
    <t>4403 · Field Material</t>
  </si>
  <si>
    <t>4404 · Food Allowance</t>
  </si>
  <si>
    <t>4405 · Invitation Fees</t>
  </si>
  <si>
    <t>4406 · Other</t>
  </si>
  <si>
    <t>Total 4400 · Government Cost</t>
  </si>
  <si>
    <t>4500 · Staff Travel Cost</t>
  </si>
  <si>
    <t>4501 · Motor Fuel</t>
  </si>
  <si>
    <t>4502 · Motor Repair</t>
  </si>
  <si>
    <t>4503 · Car Fuel</t>
  </si>
  <si>
    <t>4504 · Car Repair</t>
  </si>
  <si>
    <t>4505 · Per Diem</t>
  </si>
  <si>
    <t>4506 · Vehicle Insurance</t>
  </si>
  <si>
    <t>4507 · Parking &amp; Road Fees</t>
  </si>
  <si>
    <t>4508 · Bus &amp; Taxi Fees</t>
  </si>
  <si>
    <t>4509 · Vehicle Rental</t>
  </si>
  <si>
    <t>Total 4500 · Staff Travel Cost</t>
  </si>
  <si>
    <t>4600 · Personnel</t>
  </si>
  <si>
    <t>4601 · Salaries</t>
  </si>
  <si>
    <t>Total 4600 · Personnel</t>
  </si>
  <si>
    <t>4700 · Office &amp; Kitchen Supplies</t>
  </si>
  <si>
    <t>4701 · Stationery</t>
  </si>
  <si>
    <t>4702 · Photocopying</t>
  </si>
  <si>
    <t>4703 · Printing</t>
  </si>
  <si>
    <t>4705 · Toiletries</t>
  </si>
  <si>
    <t>4706 · Kitchen Supplies</t>
  </si>
  <si>
    <t>4707 · Other</t>
  </si>
  <si>
    <t>Total 4700 · Office &amp; Kitchen Supplies</t>
  </si>
  <si>
    <t>4800 · Utilities</t>
  </si>
  <si>
    <t>4801 · Rent</t>
  </si>
  <si>
    <t>4802 · Electricity</t>
  </si>
  <si>
    <t>4803 · Generator Fuel</t>
  </si>
  <si>
    <t>4804 · Internet</t>
  </si>
  <si>
    <t>4805 · Telephone</t>
  </si>
  <si>
    <t>4806 · Water Supply</t>
  </si>
  <si>
    <t>Total 4800 · Utilities</t>
  </si>
  <si>
    <t>4900 · Equipments</t>
  </si>
  <si>
    <t>4901 · IT Equipment</t>
  </si>
  <si>
    <t>4902 · IT Maintainence</t>
  </si>
  <si>
    <t>Total 4900 · Equipments</t>
  </si>
  <si>
    <t>5100 · Board Cost</t>
  </si>
  <si>
    <t>5101 · Food</t>
  </si>
  <si>
    <t>Total 5100 · Board Cost</t>
  </si>
  <si>
    <t>5200 · Fees</t>
  </si>
  <si>
    <t>5201 · External audit fees</t>
  </si>
  <si>
    <t>5202 · Bank fees</t>
  </si>
  <si>
    <t>5203 · Membership fees</t>
  </si>
  <si>
    <t>5205 · Other Fees</t>
  </si>
  <si>
    <t>Total 5200 · Fees</t>
  </si>
  <si>
    <t>Total 4000 · Expense</t>
  </si>
  <si>
    <t>4905 · Vehicles and Motorbikes</t>
  </si>
  <si>
    <t>Will add the actual based date</t>
  </si>
  <si>
    <t>5102 · Room Rental</t>
  </si>
  <si>
    <t>4000 · Expense- Other</t>
  </si>
  <si>
    <t>4110 · Vocational Training</t>
  </si>
  <si>
    <t>4111 · Working Experience Wages</t>
  </si>
  <si>
    <t>M'lup Russey Organization</t>
  </si>
  <si>
    <t>Balance Sheet</t>
  </si>
  <si>
    <t>Assets</t>
  </si>
  <si>
    <t xml:space="preserve">   Current Assets</t>
  </si>
  <si>
    <t xml:space="preserve">   Total Current Assets</t>
  </si>
  <si>
    <t>Total Assets</t>
  </si>
  <si>
    <t>Liabilities and shareholder's equity</t>
  </si>
  <si>
    <t xml:space="preserve">   Current liabilities:</t>
  </si>
  <si>
    <t xml:space="preserve">   Total current liabilities</t>
  </si>
  <si>
    <t xml:space="preserve">   Shareholders' equity:</t>
  </si>
  <si>
    <t xml:space="preserve">      Net Income</t>
  </si>
  <si>
    <t xml:space="preserve">   Total shareholders' equity</t>
  </si>
  <si>
    <t>Total liabilities and equity</t>
  </si>
  <si>
    <t>3006 GHR</t>
  </si>
  <si>
    <t>Profit and Loss</t>
  </si>
  <si>
    <t>January - December 2023</t>
  </si>
  <si>
    <t xml:space="preserve">   3000 Income</t>
  </si>
  <si>
    <t xml:space="preserve">      3001 Eriks</t>
  </si>
  <si>
    <t xml:space="preserve">      3002 Felm</t>
  </si>
  <si>
    <t xml:space="preserve">      3003 Cambodia Action</t>
  </si>
  <si>
    <t xml:space="preserve">      3004 Tearfund</t>
  </si>
  <si>
    <t xml:space="preserve">      3006 GHR</t>
  </si>
  <si>
    <t xml:space="preserve">      3012 Other Income</t>
  </si>
  <si>
    <t xml:space="preserve">      3015 Global Giving</t>
  </si>
  <si>
    <t xml:space="preserve">   Total 3000 Income</t>
  </si>
  <si>
    <t>Expenses</t>
  </si>
  <si>
    <t xml:space="preserve">   4000 Expense</t>
  </si>
  <si>
    <t xml:space="preserve">      4100 Client Cost</t>
  </si>
  <si>
    <t xml:space="preserve">         4101 Accommodation</t>
  </si>
  <si>
    <t xml:space="preserve">         4102 Transport</t>
  </si>
  <si>
    <t xml:space="preserve">         4103 Food</t>
  </si>
  <si>
    <t xml:space="preserve">         4104 Materials</t>
  </si>
  <si>
    <t xml:space="preserve">         4105 Care Packages</t>
  </si>
  <si>
    <t xml:space="preserve">         4106 Counselling Cost</t>
  </si>
  <si>
    <t xml:space="preserve">         4107 Clothing</t>
  </si>
  <si>
    <t xml:space="preserve">         4108 School Fees &amp; Supplies</t>
  </si>
  <si>
    <t xml:space="preserve">         4109 Welcome Packs</t>
  </si>
  <si>
    <t xml:space="preserve">         4110 Vocational Traning</t>
  </si>
  <si>
    <t xml:space="preserve">         4111 Work Experience Wages</t>
  </si>
  <si>
    <t xml:space="preserve">         4112 Phone Cards</t>
  </si>
  <si>
    <t xml:space="preserve">         4113 Medical Cost</t>
  </si>
  <si>
    <t xml:space="preserve">         4114 Other Cost</t>
  </si>
  <si>
    <t xml:space="preserve">      Total 4100 Client Cost</t>
  </si>
  <si>
    <t xml:space="preserve">      4200 Reintegration Cost</t>
  </si>
  <si>
    <t xml:space="preserve">         4201 Transport</t>
  </si>
  <si>
    <t xml:space="preserve">         4202 Photocopy</t>
  </si>
  <si>
    <t xml:space="preserve">         4204 Family Support</t>
  </si>
  <si>
    <t xml:space="preserve">      Total 4200 Reintegration Cost</t>
  </si>
  <si>
    <t xml:space="preserve">      4300 Foster Care Family Cost</t>
  </si>
  <si>
    <t xml:space="preserve">         4301 Materials</t>
  </si>
  <si>
    <t xml:space="preserve">         4302 Emergency Food</t>
  </si>
  <si>
    <t xml:space="preserve">         4303 Welcome Pack</t>
  </si>
  <si>
    <t xml:space="preserve">         4305 Retainer Fees</t>
  </si>
  <si>
    <t xml:space="preserve">         4306 Transport</t>
  </si>
  <si>
    <t xml:space="preserve">         4307 Food</t>
  </si>
  <si>
    <t xml:space="preserve">         4308 Medical Cost</t>
  </si>
  <si>
    <t xml:space="preserve">      Total 4300 Foster Care Family Cost</t>
  </si>
  <si>
    <t xml:space="preserve">      4400 Government Cost</t>
  </si>
  <si>
    <t xml:space="preserve">         4401 Accomodation</t>
  </si>
  <si>
    <t xml:space="preserve">         4402 Transport</t>
  </si>
  <si>
    <t xml:space="preserve">         4403 Field Material</t>
  </si>
  <si>
    <t xml:space="preserve">         4404 Food Allowance</t>
  </si>
  <si>
    <t xml:space="preserve">         4405 Invitation Fees</t>
  </si>
  <si>
    <t xml:space="preserve">         4406 Other</t>
  </si>
  <si>
    <t xml:space="preserve">      Total 4400 Government Cost</t>
  </si>
  <si>
    <t xml:space="preserve">      4500 Staff Travel Cost</t>
  </si>
  <si>
    <t xml:space="preserve">         4501 Motor Fuel</t>
  </si>
  <si>
    <t xml:space="preserve">         4502 Motor Repair</t>
  </si>
  <si>
    <t xml:space="preserve">         4503 Car Fuel</t>
  </si>
  <si>
    <t xml:space="preserve">         4504 Car Repair</t>
  </si>
  <si>
    <t xml:space="preserve">         4505 Per Diem</t>
  </si>
  <si>
    <t xml:space="preserve">         4506 Vehicle Insurance</t>
  </si>
  <si>
    <t xml:space="preserve">         4507 Parking &amp; Road Fees</t>
  </si>
  <si>
    <t xml:space="preserve">         4508 Bus &amp; Taxi Fees</t>
  </si>
  <si>
    <t xml:space="preserve">         4509 Vehicle Rental</t>
  </si>
  <si>
    <t xml:space="preserve">      Total 4500 Staff Travel Cost</t>
  </si>
  <si>
    <t xml:space="preserve">      4600 Personnel</t>
  </si>
  <si>
    <t xml:space="preserve">         4601 Salaries</t>
  </si>
  <si>
    <t xml:space="preserve">         4602 Provident Fund</t>
  </si>
  <si>
    <t xml:space="preserve">         4603 Gratuity Fund</t>
  </si>
  <si>
    <t xml:space="preserve">         4604 Insurance &amp; NSSF</t>
  </si>
  <si>
    <t xml:space="preserve">         4605 Staff Development</t>
  </si>
  <si>
    <t xml:space="preserve">         4606 Staff Refreshment</t>
  </si>
  <si>
    <t xml:space="preserve">         4608 Recruitment</t>
  </si>
  <si>
    <t xml:space="preserve">         4612 Other</t>
  </si>
  <si>
    <t xml:space="preserve">      Total 4600 Personnel</t>
  </si>
  <si>
    <t xml:space="preserve">      4700 Office &amp; Kitchen Supplies</t>
  </si>
  <si>
    <t xml:space="preserve">         4701 Stationery</t>
  </si>
  <si>
    <t xml:space="preserve">         4702 Photocopying</t>
  </si>
  <si>
    <t xml:space="preserve">         4703 Printing</t>
  </si>
  <si>
    <t xml:space="preserve">         4705 Toiletries</t>
  </si>
  <si>
    <t xml:space="preserve">         4706 Kitchen Supplies</t>
  </si>
  <si>
    <t xml:space="preserve">         4707 Other</t>
  </si>
  <si>
    <t xml:space="preserve">      Total 4700 Office &amp; Kitchen Supplies</t>
  </si>
  <si>
    <t xml:space="preserve">      4800 Utilities</t>
  </si>
  <si>
    <t xml:space="preserve">         4801 Rent</t>
  </si>
  <si>
    <t xml:space="preserve">         4802 Electricity</t>
  </si>
  <si>
    <t xml:space="preserve">         4803 Generator Fuel</t>
  </si>
  <si>
    <t xml:space="preserve">         4804 Internet</t>
  </si>
  <si>
    <t xml:space="preserve">         4805 Telephone</t>
  </si>
  <si>
    <t xml:space="preserve">         4806 Water Supply</t>
  </si>
  <si>
    <t xml:space="preserve">      Total 4800 Utilities</t>
  </si>
  <si>
    <t xml:space="preserve">      4900 Equipments</t>
  </si>
  <si>
    <t xml:space="preserve">         4901 IT Equipment</t>
  </si>
  <si>
    <t xml:space="preserve">         4902 IT Maintainence</t>
  </si>
  <si>
    <t xml:space="preserve">         4903 Electrical Equipment</t>
  </si>
  <si>
    <t xml:space="preserve">         4905 Vehicles and Motorbikes</t>
  </si>
  <si>
    <t xml:space="preserve">      Total 4900 Equipments</t>
  </si>
  <si>
    <t xml:space="preserve">      5100 Board Cost</t>
  </si>
  <si>
    <t xml:space="preserve">         5101 Food</t>
  </si>
  <si>
    <t xml:space="preserve">         5103 Other</t>
  </si>
  <si>
    <t xml:space="preserve">      Total 5100 Board Cost</t>
  </si>
  <si>
    <t xml:space="preserve">      5200 Fees</t>
  </si>
  <si>
    <t xml:space="preserve">         5201 External audit fees</t>
  </si>
  <si>
    <t xml:space="preserve">         5202 Bank fees</t>
  </si>
  <si>
    <t xml:space="preserve">         5203 Membership fees</t>
  </si>
  <si>
    <t xml:space="preserve">         5204 Professional Fees</t>
  </si>
  <si>
    <t xml:space="preserve">         5205 Other Fees</t>
  </si>
  <si>
    <t xml:space="preserve">      Total 5200 Fees</t>
  </si>
  <si>
    <t xml:space="preserve">   Total 4000 Expense</t>
  </si>
  <si>
    <t>Total Expenses</t>
  </si>
  <si>
    <t>Net Earnings</t>
  </si>
  <si>
    <t>Friday, Mar 15, 2024 09:29:35 AM GMT+7 - Accrual Basis</t>
  </si>
  <si>
    <t>Trial Balance</t>
  </si>
  <si>
    <t>Debit</t>
  </si>
  <si>
    <t>Credit</t>
  </si>
  <si>
    <t>TOTAL</t>
  </si>
  <si>
    <t>Jan - Dec 23</t>
  </si>
  <si>
    <t>3004 Tearfund</t>
  </si>
  <si>
    <t>3002 Felm</t>
  </si>
  <si>
    <t>3003 Cambodia Action</t>
  </si>
  <si>
    <t>3012 Other Income</t>
  </si>
  <si>
    <t>3015 Global Giving</t>
  </si>
  <si>
    <t>3001 Eriks</t>
  </si>
  <si>
    <t>4109 Welcome Packs</t>
  </si>
  <si>
    <t>4204 Family Support</t>
  </si>
  <si>
    <t>4303 Welcome Pack</t>
  </si>
  <si>
    <t>4305 Retainer Fees</t>
  </si>
  <si>
    <t xml:space="preserve"> 4306 Transport</t>
  </si>
  <si>
    <t>4307 Food</t>
  </si>
  <si>
    <t>4602 Provident Fund</t>
  </si>
  <si>
    <t>4603 Gratuity Fund</t>
  </si>
  <si>
    <t>4604 Insurance &amp; NSSF</t>
  </si>
  <si>
    <t>605 Staff Development</t>
  </si>
  <si>
    <t>4606 Staff Refreshment</t>
  </si>
  <si>
    <t>4608 Recruitment</t>
  </si>
  <si>
    <t>612 Other</t>
  </si>
  <si>
    <t>4903 Electrical Equipment</t>
  </si>
  <si>
    <t>5204 Professional Fees</t>
  </si>
  <si>
    <t xml:space="preserve">   Total 510 Agriculture Activities</t>
  </si>
  <si>
    <t xml:space="preserve">   Total 600 Child Education</t>
  </si>
  <si>
    <t xml:space="preserve">   Total 610 Health &amp; Environment</t>
  </si>
  <si>
    <t xml:space="preserve">   Total 700 Project Manpower Cost</t>
  </si>
  <si>
    <t xml:space="preserve">   Total 710 M &amp; E and Financial Audit cost</t>
  </si>
  <si>
    <t xml:space="preserve">   Total 850 OVERHEAD/SUPPORT COST</t>
  </si>
  <si>
    <t xml:space="preserve">Cash on hand </t>
  </si>
  <si>
    <t>A51</t>
  </si>
  <si>
    <t>A52</t>
  </si>
  <si>
    <t>Cash in Bank</t>
  </si>
  <si>
    <t>Accruals and other current liabilities</t>
  </si>
  <si>
    <t>Total Equity [A28=sum(A29:A35)]</t>
  </si>
  <si>
    <t>TOTAL Equity and liabilities [A27=sum(A28+A36+A41)]</t>
  </si>
  <si>
    <t>Total Non-current liabilities [A36=sum(A37:A40)]</t>
  </si>
  <si>
    <t>Total Current liabilities [A41=sum(A42:A50)]</t>
  </si>
  <si>
    <t xml:space="preserve">Unearned Revenue </t>
  </si>
  <si>
    <t>Other subsidy revenues</t>
  </si>
  <si>
    <t>Other Subsidy revenue  [B8=Sum(B8:B11)]</t>
  </si>
  <si>
    <t>Other Revenue (B12= Sum(B13:B21))</t>
  </si>
  <si>
    <t>Grant</t>
  </si>
  <si>
    <t>B45</t>
  </si>
  <si>
    <t>B46</t>
  </si>
  <si>
    <t>B47</t>
  </si>
  <si>
    <t>B48</t>
  </si>
  <si>
    <t xml:space="preserve">Other renting revenue or receivable </t>
  </si>
  <si>
    <t xml:space="preserve">Revenue from seling bond </t>
  </si>
  <si>
    <t>Operating expenses [B22=Sum(B23:B41)]</t>
  </si>
  <si>
    <t>Revenue from Royalty or Receivable</t>
  </si>
  <si>
    <t>Gain on selling fixed assets</t>
  </si>
  <si>
    <t>Profit/(loss) from operations (B42=B7+B8+B12-B22)</t>
  </si>
  <si>
    <t>Interest provision expenses</t>
  </si>
  <si>
    <t>Profit before tax  [B46=(B42-B43-B44-B45)]</t>
  </si>
  <si>
    <t>Net profit after tax ( B48=B46-B47)</t>
  </si>
  <si>
    <t>Gross profit  (B7=B0-B4-B5-B6)</t>
  </si>
  <si>
    <t>PL</t>
  </si>
  <si>
    <t>In RIELS</t>
  </si>
  <si>
    <t>TAX Reference Number</t>
  </si>
  <si>
    <t>Description</t>
  </si>
  <si>
    <t>As of December 31, 2024</t>
  </si>
  <si>
    <t>Cash In Bank</t>
  </si>
  <si>
    <t>Office Rental Deposit</t>
  </si>
  <si>
    <t>Accrual Payment</t>
  </si>
  <si>
    <t>Program Advance</t>
  </si>
  <si>
    <t>Pension Payable</t>
  </si>
  <si>
    <t>Reimbursement to owing Staff</t>
  </si>
  <si>
    <t>Payable to Auditor</t>
  </si>
  <si>
    <t>Current WHT Liability</t>
  </si>
  <si>
    <t>Opening Balance Equity</t>
  </si>
  <si>
    <t>Retained Earnings</t>
  </si>
  <si>
    <t>Transfer from ERIKS HQ</t>
  </si>
  <si>
    <t>Income from Bank Interest</t>
  </si>
  <si>
    <t>Office Rent or lease payments</t>
  </si>
  <si>
    <t xml:space="preserve">   Total 3000 Salary Expenses'</t>
  </si>
  <si>
    <t>3000 Salary Expenses</t>
  </si>
  <si>
    <t>Utilities</t>
  </si>
  <si>
    <t>4000 Office/General Administrative Expenses</t>
  </si>
  <si>
    <t>Postage Expenses</t>
  </si>
  <si>
    <t>Salaries</t>
  </si>
  <si>
    <t>Staff Seniority</t>
  </si>
  <si>
    <t>Group Accident insurance</t>
  </si>
  <si>
    <t>Social Security Insurances for staff</t>
  </si>
  <si>
    <t>Incentive Allowance/8% Pension allowance</t>
  </si>
  <si>
    <t>Office staff gratuity/Compensation Leave</t>
  </si>
  <si>
    <t>Staff Medical insurances</t>
  </si>
  <si>
    <t>Office Electricity</t>
  </si>
  <si>
    <t>Office Phone and Fax</t>
  </si>
  <si>
    <t>Bank Charge</t>
  </si>
  <si>
    <t>Printer ink, printing and copies</t>
  </si>
  <si>
    <t>Stationary &amp; Printing</t>
  </si>
  <si>
    <t>Newspapers/Magazine</t>
  </si>
  <si>
    <t>Meeting with IPOs and Government</t>
  </si>
  <si>
    <t>Office Registration Expenses</t>
  </si>
  <si>
    <t>Projection budget work with MoI</t>
  </si>
  <si>
    <t>Tax Expenditure</t>
  </si>
  <si>
    <t>Tax Exchange Gain/Loss</t>
  </si>
  <si>
    <t>Office Equipment Expenses</t>
  </si>
  <si>
    <t>Office Maintenance/Utilities Expenses</t>
  </si>
  <si>
    <t>5000 Office Expenses:</t>
  </si>
  <si>
    <t>IT  Accessories Expenses</t>
  </si>
  <si>
    <t>Internet Expenses</t>
  </si>
  <si>
    <t>Miscellanoeus Office Expenses</t>
  </si>
  <si>
    <t>Other Consultant fee</t>
  </si>
  <si>
    <t xml:space="preserve"> 5200 External Services:</t>
  </si>
  <si>
    <t>Meals and Accommodations expenses</t>
  </si>
  <si>
    <t>6000 Rountine Monitoring&amp;Visit IPOs Expenses:</t>
  </si>
  <si>
    <t>Vehicle Running Costs Expenses</t>
  </si>
  <si>
    <t>Travel expenses - Air Ticket</t>
  </si>
  <si>
    <t>Travel expenses - Visa fees</t>
  </si>
  <si>
    <t>Air Ticket for routine partner visit</t>
  </si>
  <si>
    <t>Annual Partner Meeting in Cambodia</t>
  </si>
  <si>
    <t>6200 IPOs Capacity Development</t>
  </si>
  <si>
    <t xml:space="preserve">6100 SEAT Capacity Development </t>
  </si>
  <si>
    <t>SEAT Learning &amp; Team Development</t>
  </si>
  <si>
    <t>Salary Tax Payable</t>
  </si>
  <si>
    <t>Professional fee Audit cost</t>
  </si>
  <si>
    <t>Membership Local networking /registration</t>
  </si>
  <si>
    <t>CRC for CRSA</t>
  </si>
  <si>
    <t>Women Forum</t>
  </si>
  <si>
    <t>In USD</t>
  </si>
  <si>
    <t>January - December 2024</t>
  </si>
  <si>
    <t>In Riels</t>
  </si>
  <si>
    <t>Erikshjalpen Organization</t>
  </si>
  <si>
    <t>Exchange Rate end 2024 1US$ =</t>
  </si>
  <si>
    <t>Excahnge Rate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</si>
</sst>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0.00_);_(&quot;$&quot;* \(#,##0.00\);_(&quot;$&quot;* &quot;-&quot;??_);_(@_)"/>
    <numFmt numFmtId="43" formatCode="_(* #,##0.00_);_(* \(#,##0.00\);_(* &quot;-&quot;??_);_(@_)"/>
    <numFmt numFmtId="164" formatCode="#,##0.00;\-#,##0.00"/>
    <numFmt numFmtId="165" formatCode="[$-409]d/mmm/yy;@"/>
    <numFmt numFmtId="166" formatCode="_(* #,##0_);_(* \(#,##0\);_(* &quot;-&quot;??_);_(@_)"/>
    <numFmt numFmtId="167" formatCode="_(* #,##0_);_(* \(#,##0\);_(* &quot;-&quot;???_);_(@_)"/>
    <numFmt numFmtId="168" formatCode="_(* #,##0.00_);_(* \(#,##0.00\);_(* &quot;-&quot;???_);_(@_)"/>
    <numFmt numFmtId="169" formatCode="_(&quot;$&quot;* #,##0_);_(&quot;$&quot;* \(#,##0\);_(&quot;$&quot;* &quot;-&quot;??_);_(@_)"/>
    <numFmt numFmtId="170" formatCode="#,##0.00\ _€"/>
    <numFmt numFmtId="171" formatCode="&quot;$&quot;* #,##0.00\ _€"/>
    <numFmt numFmtId="172" formatCode="&quot;$&quot;* #,##0\ _€"/>
  </numFmts>
  <fonts count="38" x14ac:knownFonts="1">
    <font>
      <sz val="11"/>
      <color theme="1"/>
      <name val="Calibri"/>
      <family val="2"/>
      <scheme val="minor"/>
    </font>
    <font>
      <sz val="11"/>
      <color theme="1"/>
      <name val="Calibri"/>
      <family val="2"/>
      <scheme val="minor"/>
    </font>
    <font>
      <sz val="11"/>
      <color theme="1"/>
      <name val="Cambria"/>
      <family val="1"/>
    </font>
    <font>
      <b/>
      <sz val="11"/>
      <color theme="1"/>
      <name val="Cambria"/>
      <family val="1"/>
    </font>
    <font>
      <sz val="10"/>
      <name val="Arial"/>
      <family val="2"/>
    </font>
    <font>
      <b/>
      <sz val="8"/>
      <color rgb="FF323232"/>
      <name val="Arial"/>
      <family val="2"/>
    </font>
    <font>
      <sz val="8"/>
      <color rgb="FF323232"/>
      <name val="Arial"/>
      <family val="2"/>
    </font>
    <font>
      <sz val="11"/>
      <name val="Calibri"/>
      <family val="2"/>
      <scheme val="minor"/>
    </font>
    <font>
      <sz val="11"/>
      <name val="Cambria"/>
      <family val="1"/>
    </font>
    <font>
      <b/>
      <sz val="14"/>
      <name val="Calibri"/>
      <family val="2"/>
      <scheme val="minor"/>
    </font>
    <font>
      <sz val="8"/>
      <name val="Calibri"/>
      <family val="2"/>
      <scheme val="minor"/>
    </font>
    <font>
      <sz val="10.5"/>
      <name val="Calibri"/>
      <family val="2"/>
      <scheme val="minor"/>
    </font>
    <font>
      <b/>
      <sz val="10.5"/>
      <name val="Calibri"/>
      <family val="2"/>
      <scheme val="minor"/>
    </font>
    <font>
      <sz val="10"/>
      <name val="Calibri"/>
      <family val="2"/>
      <scheme val="minor"/>
    </font>
    <font>
      <sz val="10"/>
      <color rgb="FFFF0000"/>
      <name val="Calibri"/>
      <family val="2"/>
      <scheme val="minor"/>
    </font>
    <font>
      <b/>
      <i/>
      <sz val="10"/>
      <name val="Calibri"/>
      <family val="2"/>
      <scheme val="minor"/>
    </font>
    <font>
      <i/>
      <sz val="10"/>
      <name val="Calibri"/>
      <family val="2"/>
      <scheme val="minor"/>
    </font>
    <font>
      <b/>
      <sz val="10"/>
      <name val="Calibri"/>
      <family val="2"/>
      <scheme val="minor"/>
    </font>
    <font>
      <b/>
      <sz val="10"/>
      <color indexed="8"/>
      <name val="Calibri"/>
      <family val="2"/>
      <scheme val="minor"/>
    </font>
    <font>
      <b/>
      <sz val="8"/>
      <name val="Calibri"/>
      <family val="2"/>
      <scheme val="minor"/>
    </font>
    <font>
      <b/>
      <sz val="8"/>
      <color indexed="81"/>
      <name val="Tahoma"/>
      <family val="2"/>
    </font>
    <font>
      <sz val="8"/>
      <color indexed="81"/>
      <name val="Tahoma"/>
      <family val="2"/>
    </font>
    <font>
      <b/>
      <sz val="9"/>
      <color indexed="81"/>
      <name val="Tahoma"/>
      <family val="2"/>
    </font>
    <font>
      <sz val="9"/>
      <color indexed="81"/>
      <name val="Tahoma"/>
      <family val="2"/>
    </font>
    <font>
      <b/>
      <sz val="11"/>
      <name val="Cambria"/>
      <family val="1"/>
    </font>
    <font>
      <b/>
      <sz val="11"/>
      <name val="Calibri"/>
      <family val="2"/>
      <scheme val="minor"/>
    </font>
    <font>
      <sz val="11"/>
      <color indexed="8"/>
      <name val="Calibri"/>
      <family val="2"/>
      <scheme val="minor"/>
    </font>
    <font>
      <sz val="8"/>
      <color indexed="8"/>
      <name val="Arial"/>
      <family val="2"/>
    </font>
    <font>
      <b/>
      <sz val="14"/>
      <color indexed="8"/>
      <name val="Arial"/>
      <family val="2"/>
    </font>
    <font>
      <b/>
      <sz val="10"/>
      <color indexed="8"/>
      <name val="Arial"/>
      <family val="2"/>
    </font>
    <font>
      <b/>
      <sz val="9"/>
      <color indexed="8"/>
      <name val="Arial"/>
      <family val="2"/>
    </font>
    <font>
      <b/>
      <sz val="8"/>
      <color indexed="8"/>
      <name val="Arial"/>
      <family val="2"/>
    </font>
    <font>
      <sz val="11"/>
      <color rgb="FFFF0000"/>
      <name val="Calibri"/>
      <family val="2"/>
      <scheme val="minor"/>
    </font>
    <font>
      <b/>
      <u/>
      <sz val="8"/>
      <color indexed="8"/>
      <name val="Arial"/>
      <family val="2"/>
    </font>
    <font>
      <b/>
      <u val="double"/>
      <sz val="8"/>
      <color indexed="8"/>
      <name val="Arial"/>
      <family val="2"/>
    </font>
    <font>
      <b/>
      <sz val="11"/>
      <color theme="1"/>
      <name val="Calibri"/>
      <family val="2"/>
      <scheme val="minor"/>
    </font>
    <font>
      <b/>
      <sz val="11"/>
      <color rgb="FFFF0000"/>
      <name val="Calibri"/>
      <family val="2"/>
      <scheme val="minor"/>
    </font>
    <font>
      <b/>
      <sz val="11"/>
      <color indexed="8"/>
      <name val="Calibri"/>
      <family val="2"/>
      <scheme val="minor"/>
    </font>
  </fonts>
  <fills count="18">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theme="5" tint="0.39997558519241921"/>
        <bgColor indexed="64"/>
      </patternFill>
    </fill>
    <fill>
      <patternFill patternType="solid">
        <fgColor theme="8" tint="0.59999389629810485"/>
        <bgColor indexed="64"/>
      </patternFill>
    </fill>
    <fill>
      <patternFill patternType="solid">
        <fgColor indexed="41"/>
        <bgColor indexed="64"/>
      </patternFill>
    </fill>
    <fill>
      <patternFill patternType="solid">
        <fgColor indexed="42"/>
        <bgColor indexed="64"/>
      </patternFill>
    </fill>
    <fill>
      <patternFill patternType="solid">
        <fgColor indexed="43"/>
        <bgColor indexed="64"/>
      </patternFill>
    </fill>
    <fill>
      <patternFill patternType="solid">
        <fgColor indexed="47"/>
        <bgColor indexed="64"/>
      </patternFill>
    </fill>
    <fill>
      <patternFill patternType="solid">
        <fgColor rgb="FF00FFFF"/>
        <bgColor indexed="64"/>
      </patternFill>
    </fill>
    <fill>
      <patternFill patternType="solid">
        <fgColor rgb="FFFFFF99"/>
        <bgColor indexed="64"/>
      </patternFill>
    </fill>
    <fill>
      <patternFill patternType="solid">
        <fgColor theme="0"/>
        <bgColor indexed="64"/>
      </patternFill>
    </fill>
    <fill>
      <patternFill patternType="solid">
        <fgColor rgb="FFFFC000"/>
        <bgColor indexed="64"/>
      </patternFill>
    </fill>
    <fill>
      <patternFill patternType="solid">
        <fgColor theme="6" tint="0.79998168889431442"/>
        <bgColor indexed="64"/>
      </patternFill>
    </fill>
    <fill>
      <patternFill patternType="solid">
        <fgColor theme="3" tint="0.79998168889431442"/>
        <bgColor indexed="64"/>
      </patternFill>
    </fill>
    <fill>
      <patternFill patternType="solid">
        <fgColor theme="9"/>
        <bgColor indexed="64"/>
      </patternFill>
    </fill>
    <fill>
      <patternFill patternType="solid">
        <fgColor rgb="FF00B0F0"/>
        <bgColor indexed="64"/>
      </patternFill>
    </fill>
  </fills>
  <borders count="57">
    <border>
      <left/>
      <right/>
      <top/>
      <bottom/>
      <diagonal/>
    </border>
    <border>
      <left/>
      <right/>
      <top/>
      <bottom style="thick">
        <color indexed="64"/>
      </bottom>
      <diagonal/>
    </border>
    <border>
      <left/>
      <right/>
      <top style="medium">
        <color indexed="64"/>
      </top>
      <bottom style="medium">
        <color indexed="64"/>
      </bottom>
      <diagonal/>
    </border>
    <border>
      <left/>
      <right/>
      <top style="medium">
        <color indexed="64"/>
      </top>
      <bottom/>
      <diagonal/>
    </border>
    <border>
      <left/>
      <right/>
      <top style="medium">
        <color indexed="64"/>
      </top>
      <bottom style="double">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37"/>
      </left>
      <right style="thin">
        <color indexed="37"/>
      </right>
      <top style="thin">
        <color indexed="37"/>
      </top>
      <bottom/>
      <diagonal/>
    </border>
    <border>
      <left style="thin">
        <color indexed="64"/>
      </left>
      <right style="thin">
        <color indexed="64"/>
      </right>
      <top/>
      <bottom/>
      <diagonal/>
    </border>
    <border>
      <left style="thin">
        <color indexed="37"/>
      </left>
      <right style="thin">
        <color indexed="37"/>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37"/>
      </left>
      <right style="thin">
        <color indexed="37"/>
      </right>
      <top/>
      <bottom style="thin">
        <color indexed="37"/>
      </bottom>
      <diagonal/>
    </border>
    <border>
      <left/>
      <right style="thin">
        <color indexed="37"/>
      </right>
      <top/>
      <bottom/>
      <diagonal/>
    </border>
    <border>
      <left/>
      <right style="thin">
        <color indexed="64"/>
      </right>
      <top/>
      <bottom/>
      <diagonal/>
    </border>
    <border>
      <left style="hair">
        <color auto="1"/>
      </left>
      <right style="hair">
        <color auto="1"/>
      </right>
      <top/>
      <bottom style="hair">
        <color auto="1"/>
      </bottom>
      <diagonal/>
    </border>
    <border>
      <left style="hair">
        <color auto="1"/>
      </left>
      <right style="hair">
        <color auto="1"/>
      </right>
      <top style="hair">
        <color auto="1"/>
      </top>
      <bottom style="hair">
        <color auto="1"/>
      </bottom>
      <diagonal/>
    </border>
    <border>
      <left/>
      <right style="hair">
        <color auto="1"/>
      </right>
      <top/>
      <bottom/>
      <diagonal/>
    </border>
    <border>
      <left style="hair">
        <color auto="1"/>
      </left>
      <right style="hair">
        <color auto="1"/>
      </right>
      <top/>
      <bottom/>
      <diagonal/>
    </border>
    <border>
      <left style="hair">
        <color auto="1"/>
      </left>
      <right/>
      <top/>
      <bottom/>
      <diagonal/>
    </border>
    <border>
      <left/>
      <right/>
      <top style="thin">
        <color auto="1"/>
      </top>
      <bottom/>
      <diagonal/>
    </border>
    <border>
      <left style="thin">
        <color auto="1"/>
      </left>
      <right/>
      <top/>
      <bottom/>
      <diagonal/>
    </border>
    <border>
      <left style="hair">
        <color auto="1"/>
      </left>
      <right style="thin">
        <color auto="1"/>
      </right>
      <top style="hair">
        <color auto="1"/>
      </top>
      <bottom style="hair">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thin">
        <color auto="1"/>
      </left>
      <right style="hair">
        <color auto="1"/>
      </right>
      <top/>
      <bottom style="hair">
        <color auto="1"/>
      </bottom>
      <diagonal/>
    </border>
    <border>
      <left style="thin">
        <color auto="1"/>
      </left>
      <right style="hair">
        <color auto="1"/>
      </right>
      <top style="hair">
        <color auto="1"/>
      </top>
      <bottom style="hair">
        <color auto="1"/>
      </bottom>
      <diagonal/>
    </border>
    <border>
      <left style="thin">
        <color auto="1"/>
      </left>
      <right style="hair">
        <color auto="1"/>
      </right>
      <top style="hair">
        <color auto="1"/>
      </top>
      <bottom style="thin">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right/>
      <top/>
      <bottom style="thin">
        <color auto="1"/>
      </bottom>
      <diagonal/>
    </border>
    <border>
      <left/>
      <right style="hair">
        <color auto="1"/>
      </right>
      <top/>
      <bottom style="hair">
        <color auto="1"/>
      </bottom>
      <diagonal/>
    </border>
    <border>
      <left style="hair">
        <color auto="1"/>
      </left>
      <right style="thin">
        <color auto="1"/>
      </right>
      <top/>
      <bottom style="hair">
        <color auto="1"/>
      </bottom>
      <diagonal/>
    </border>
    <border>
      <left style="thin">
        <color auto="1"/>
      </left>
      <right style="thin">
        <color auto="1"/>
      </right>
      <top/>
      <bottom style="hair">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style="medium">
        <color auto="1"/>
      </top>
      <bottom/>
      <diagonal/>
    </border>
    <border>
      <left style="medium">
        <color auto="1"/>
      </left>
      <right style="thin">
        <color auto="1"/>
      </right>
      <top/>
      <bottom/>
      <diagonal/>
    </border>
    <border>
      <left style="medium">
        <color auto="1"/>
      </left>
      <right style="thin">
        <color auto="1"/>
      </right>
      <top/>
      <bottom style="medium">
        <color auto="1"/>
      </bottom>
      <diagonal/>
    </border>
    <border>
      <left style="thin">
        <color auto="1"/>
      </left>
      <right style="thin">
        <color auto="1"/>
      </right>
      <top style="medium">
        <color auto="1"/>
      </top>
      <bottom/>
      <diagonal/>
    </border>
    <border>
      <left style="thin">
        <color auto="1"/>
      </left>
      <right style="thin">
        <color auto="1"/>
      </right>
      <top/>
      <bottom style="medium">
        <color auto="1"/>
      </bottom>
      <diagonal/>
    </border>
    <border>
      <left style="thin">
        <color auto="1"/>
      </left>
      <right style="thin">
        <color auto="1"/>
      </right>
      <top style="hair">
        <color auto="1"/>
      </top>
      <bottom style="medium">
        <color indexed="64"/>
      </bottom>
      <diagonal/>
    </border>
    <border>
      <left style="thin">
        <color auto="1"/>
      </left>
      <right style="hair">
        <color auto="1"/>
      </right>
      <top style="hair">
        <color auto="1"/>
      </top>
      <bottom style="medium">
        <color indexed="64"/>
      </bottom>
      <diagonal/>
    </border>
    <border>
      <left style="hair">
        <color auto="1"/>
      </left>
      <right style="hair">
        <color auto="1"/>
      </right>
      <top style="hair">
        <color auto="1"/>
      </top>
      <bottom style="medium">
        <color indexed="64"/>
      </bottom>
      <diagonal/>
    </border>
    <border>
      <left style="hair">
        <color auto="1"/>
      </left>
      <right style="thin">
        <color auto="1"/>
      </right>
      <top style="hair">
        <color auto="1"/>
      </top>
      <bottom style="medium">
        <color indexed="64"/>
      </bottom>
      <diagonal/>
    </border>
    <border>
      <left/>
      <right/>
      <top style="thin">
        <color auto="1"/>
      </top>
      <bottom style="double">
        <color auto="1"/>
      </bottom>
      <diagonal/>
    </border>
    <border>
      <left style="thin">
        <color auto="1"/>
      </left>
      <right style="thin">
        <color indexed="64"/>
      </right>
      <top style="medium">
        <color indexed="64"/>
      </top>
      <bottom style="medium">
        <color auto="1"/>
      </bottom>
      <diagonal/>
    </border>
    <border>
      <left style="thin">
        <color auto="1"/>
      </left>
      <right style="hair">
        <color auto="1"/>
      </right>
      <top style="medium">
        <color indexed="64"/>
      </top>
      <bottom style="medium">
        <color auto="1"/>
      </bottom>
      <diagonal/>
    </border>
    <border>
      <left style="hair">
        <color auto="1"/>
      </left>
      <right style="hair">
        <color auto="1"/>
      </right>
      <top style="medium">
        <color indexed="64"/>
      </top>
      <bottom style="medium">
        <color auto="1"/>
      </bottom>
      <diagonal/>
    </border>
    <border>
      <left style="hair">
        <color auto="1"/>
      </left>
      <right style="thin">
        <color auto="1"/>
      </right>
      <top style="medium">
        <color indexed="64"/>
      </top>
      <bottom style="medium">
        <color auto="1"/>
      </bottom>
      <diagonal/>
    </border>
  </borders>
  <cellStyleXfs count="10">
    <xf numFmtId="0" fontId="0" fillId="0" borderId="0"/>
    <xf numFmtId="43" fontId="1" fillId="0" borderId="0" applyFont="0" applyFill="0" applyBorder="0" applyAlignment="0" applyProtection="0"/>
    <xf numFmtId="43" fontId="4" fillId="0" borderId="0" applyFont="0" applyFill="0" applyBorder="0" applyAlignment="0" applyProtection="0"/>
    <xf numFmtId="9" fontId="4" fillId="0" borderId="0" applyFont="0" applyFill="0" applyBorder="0" applyAlignment="0" applyProtection="0"/>
    <xf numFmtId="43" fontId="4" fillId="0" borderId="0" applyFont="0" applyFill="0" applyBorder="0" applyAlignment="0" applyProtection="0"/>
    <xf numFmtId="44" fontId="4" fillId="0" borderId="0" applyFont="0" applyFill="0" applyBorder="0" applyAlignment="0" applyProtection="0"/>
    <xf numFmtId="43" fontId="4" fillId="0" borderId="0" applyFont="0" applyFill="0" applyBorder="0" applyAlignment="0" applyProtection="0"/>
    <xf numFmtId="44" fontId="4" fillId="0" borderId="0" applyFont="0" applyFill="0" applyBorder="0" applyAlignment="0" applyProtection="0"/>
    <xf numFmtId="43" fontId="4" fillId="0" borderId="0" applyFont="0" applyFill="0" applyBorder="0" applyAlignment="0" applyProtection="0"/>
    <xf numFmtId="0" fontId="26" fillId="0" borderId="0"/>
  </cellStyleXfs>
  <cellXfs count="294">
    <xf numFmtId="0" fontId="0" fillId="0" borderId="0" xfId="0"/>
    <xf numFmtId="0" fontId="2" fillId="0" borderId="0" xfId="0" applyFont="1"/>
    <xf numFmtId="43" fontId="2" fillId="0" borderId="0" xfId="1" applyFont="1"/>
    <xf numFmtId="0" fontId="3" fillId="0" borderId="0" xfId="0" applyFont="1"/>
    <xf numFmtId="43" fontId="3" fillId="0" borderId="0" xfId="1" applyFont="1"/>
    <xf numFmtId="0" fontId="2" fillId="0" borderId="0" xfId="0" applyFont="1" applyAlignment="1">
      <alignment horizontal="center"/>
    </xf>
    <xf numFmtId="0" fontId="3" fillId="0" borderId="0" xfId="0" applyFont="1" applyAlignment="1">
      <alignment horizontal="center"/>
    </xf>
    <xf numFmtId="43" fontId="2" fillId="0" borderId="0" xfId="0" applyNumberFormat="1" applyFont="1"/>
    <xf numFmtId="43" fontId="2" fillId="2" borderId="0" xfId="1" applyFont="1" applyFill="1"/>
    <xf numFmtId="43" fontId="2" fillId="3" borderId="0" xfId="1" applyFont="1" applyFill="1"/>
    <xf numFmtId="0" fontId="2" fillId="3" borderId="0" xfId="0" applyFont="1" applyFill="1" applyAlignment="1">
      <alignment horizontal="center"/>
    </xf>
    <xf numFmtId="0" fontId="2" fillId="2" borderId="0" xfId="0" applyFont="1" applyFill="1" applyAlignment="1">
      <alignment horizontal="center"/>
    </xf>
    <xf numFmtId="43" fontId="2" fillId="4" borderId="0" xfId="1" applyFont="1" applyFill="1"/>
    <xf numFmtId="0" fontId="2" fillId="4" borderId="0" xfId="0" applyFont="1" applyFill="1" applyAlignment="1">
      <alignment horizontal="center"/>
    </xf>
    <xf numFmtId="43" fontId="2" fillId="5" borderId="0" xfId="1" applyFont="1" applyFill="1"/>
    <xf numFmtId="49" fontId="5" fillId="0" borderId="0" xfId="0" applyNumberFormat="1" applyFont="1"/>
    <xf numFmtId="49" fontId="5" fillId="0" borderId="0" xfId="0" applyNumberFormat="1" applyFont="1" applyAlignment="1">
      <alignment horizontal="center"/>
    </xf>
    <xf numFmtId="49" fontId="5" fillId="0" borderId="1" xfId="0" applyNumberFormat="1" applyFont="1" applyBorder="1" applyAlignment="1">
      <alignment horizontal="center"/>
    </xf>
    <xf numFmtId="0" fontId="0" fillId="0" borderId="0" xfId="0" applyAlignment="1">
      <alignment horizontal="center"/>
    </xf>
    <xf numFmtId="164" fontId="6" fillId="0" borderId="0" xfId="0" applyNumberFormat="1" applyFont="1"/>
    <xf numFmtId="164" fontId="6" fillId="0" borderId="2" xfId="0" applyNumberFormat="1" applyFont="1" applyBorder="1"/>
    <xf numFmtId="164" fontId="6" fillId="0" borderId="3" xfId="0" applyNumberFormat="1" applyFont="1" applyBorder="1"/>
    <xf numFmtId="164" fontId="5" fillId="0" borderId="4" xfId="0" applyNumberFormat="1" applyFont="1" applyBorder="1"/>
    <xf numFmtId="0" fontId="5" fillId="0" borderId="0" xfId="0" applyFont="1"/>
    <xf numFmtId="0" fontId="7" fillId="0" borderId="0" xfId="0" applyFont="1"/>
    <xf numFmtId="0" fontId="8" fillId="0" borderId="0" xfId="0" applyFont="1"/>
    <xf numFmtId="43" fontId="7" fillId="0" borderId="0" xfId="1" applyFont="1"/>
    <xf numFmtId="0" fontId="9" fillId="0" borderId="0" xfId="0" applyFont="1"/>
    <xf numFmtId="0" fontId="10" fillId="0" borderId="0" xfId="0" applyFont="1"/>
    <xf numFmtId="43" fontId="10" fillId="0" borderId="0" xfId="2" applyFont="1"/>
    <xf numFmtId="0" fontId="11" fillId="0" borderId="0" xfId="0" applyFont="1"/>
    <xf numFmtId="43" fontId="11" fillId="0" borderId="0" xfId="0" applyNumberFormat="1" applyFont="1" applyAlignment="1">
      <alignment horizontal="right"/>
    </xf>
    <xf numFmtId="2" fontId="11" fillId="0" borderId="0" xfId="0" applyNumberFormat="1" applyFont="1"/>
    <xf numFmtId="43" fontId="11" fillId="0" borderId="0" xfId="2" applyFont="1" applyAlignment="1">
      <alignment horizontal="center"/>
    </xf>
    <xf numFmtId="43" fontId="11" fillId="0" borderId="0" xfId="2" applyFont="1"/>
    <xf numFmtId="43" fontId="11" fillId="0" borderId="0" xfId="0" applyNumberFormat="1" applyFont="1"/>
    <xf numFmtId="166" fontId="11" fillId="0" borderId="0" xfId="0" applyNumberFormat="1" applyFont="1"/>
    <xf numFmtId="0" fontId="12" fillId="7" borderId="0" xfId="0" applyFont="1" applyFill="1" applyAlignment="1">
      <alignment horizontal="center"/>
    </xf>
    <xf numFmtId="0" fontId="11" fillId="7" borderId="5" xfId="0" applyFont="1" applyFill="1" applyBorder="1" applyAlignment="1">
      <alignment horizontal="center"/>
    </xf>
    <xf numFmtId="17" fontId="11" fillId="0" borderId="0" xfId="0" applyNumberFormat="1" applyFont="1"/>
    <xf numFmtId="0" fontId="11" fillId="8" borderId="9" xfId="0" applyFont="1" applyFill="1" applyBorder="1" applyAlignment="1">
      <alignment horizontal="center"/>
    </xf>
    <xf numFmtId="0" fontId="11" fillId="7" borderId="9" xfId="0" applyFont="1" applyFill="1" applyBorder="1" applyAlignment="1">
      <alignment horizontal="center"/>
    </xf>
    <xf numFmtId="0" fontId="11" fillId="7" borderId="11" xfId="0" applyFont="1" applyFill="1" applyBorder="1"/>
    <xf numFmtId="0" fontId="11" fillId="7" borderId="11" xfId="0" applyFont="1" applyFill="1" applyBorder="1" applyAlignment="1">
      <alignment horizontal="center"/>
    </xf>
    <xf numFmtId="0" fontId="11" fillId="7" borderId="12" xfId="0" applyFont="1" applyFill="1" applyBorder="1" applyAlignment="1">
      <alignment horizontal="center"/>
    </xf>
    <xf numFmtId="0" fontId="11" fillId="7" borderId="13" xfId="0" applyFont="1" applyFill="1" applyBorder="1" applyAlignment="1">
      <alignment horizontal="center"/>
    </xf>
    <xf numFmtId="0" fontId="11" fillId="7" borderId="5" xfId="0" applyFont="1" applyFill="1" applyBorder="1" applyAlignment="1">
      <alignment horizontal="center" wrapText="1"/>
    </xf>
    <xf numFmtId="0" fontId="11" fillId="8" borderId="5" xfId="0" applyFont="1" applyFill="1" applyBorder="1" applyAlignment="1">
      <alignment horizontal="center"/>
    </xf>
    <xf numFmtId="0" fontId="11" fillId="0" borderId="5" xfId="0" applyFont="1" applyBorder="1" applyAlignment="1">
      <alignment horizontal="center"/>
    </xf>
    <xf numFmtId="9" fontId="11" fillId="0" borderId="5" xfId="0" applyNumberFormat="1" applyFont="1" applyBorder="1" applyAlignment="1">
      <alignment horizontal="center"/>
    </xf>
    <xf numFmtId="9" fontId="11" fillId="0" borderId="11" xfId="0" applyNumberFormat="1" applyFont="1" applyBorder="1" applyAlignment="1">
      <alignment horizontal="center"/>
    </xf>
    <xf numFmtId="16" fontId="11" fillId="0" borderId="0" xfId="0" applyNumberFormat="1" applyFont="1"/>
    <xf numFmtId="0" fontId="13" fillId="0" borderId="11" xfId="0" applyFont="1" applyBorder="1" applyAlignment="1">
      <alignment horizontal="center"/>
    </xf>
    <xf numFmtId="0" fontId="14" fillId="0" borderId="11" xfId="0" applyFont="1" applyBorder="1"/>
    <xf numFmtId="0" fontId="13" fillId="0" borderId="11" xfId="0" applyFont="1" applyBorder="1"/>
    <xf numFmtId="43" fontId="13" fillId="9" borderId="11" xfId="0" applyNumberFormat="1" applyFont="1" applyFill="1" applyBorder="1" applyAlignment="1">
      <alignment horizontal="left"/>
    </xf>
    <xf numFmtId="43" fontId="13" fillId="10" borderId="11" xfId="2" applyFont="1" applyFill="1" applyBorder="1"/>
    <xf numFmtId="43" fontId="14" fillId="10" borderId="11" xfId="2" applyFont="1" applyFill="1" applyBorder="1"/>
    <xf numFmtId="166" fontId="13" fillId="0" borderId="11" xfId="2" applyNumberFormat="1" applyFont="1" applyBorder="1"/>
    <xf numFmtId="0" fontId="13" fillId="8" borderId="11" xfId="0" applyFont="1" applyFill="1" applyBorder="1" applyAlignment="1">
      <alignment horizontal="center"/>
    </xf>
    <xf numFmtId="166" fontId="13" fillId="0" borderId="11" xfId="4" applyNumberFormat="1" applyFont="1" applyBorder="1" applyAlignment="1">
      <alignment wrapText="1"/>
    </xf>
    <xf numFmtId="166" fontId="13" fillId="0" borderId="11" xfId="0" applyNumberFormat="1" applyFont="1" applyBorder="1"/>
    <xf numFmtId="9" fontId="13" fillId="0" borderId="11" xfId="5" applyNumberFormat="1" applyFont="1" applyBorder="1" applyAlignment="1">
      <alignment horizontal="center" wrapText="1"/>
    </xf>
    <xf numFmtId="166" fontId="13" fillId="0" borderId="11" xfId="2" applyNumberFormat="1" applyFont="1" applyBorder="1" applyAlignment="1">
      <alignment wrapText="1"/>
    </xf>
    <xf numFmtId="44" fontId="13" fillId="11" borderId="11" xfId="5" applyFont="1" applyFill="1" applyBorder="1" applyAlignment="1">
      <alignment horizontal="center" wrapText="1"/>
    </xf>
    <xf numFmtId="166" fontId="11" fillId="0" borderId="11" xfId="0" applyNumberFormat="1" applyFont="1" applyBorder="1" applyAlignment="1">
      <alignment horizontal="left"/>
    </xf>
    <xf numFmtId="167" fontId="13" fillId="0" borderId="11" xfId="0" applyNumberFormat="1" applyFont="1" applyBorder="1"/>
    <xf numFmtId="43" fontId="13" fillId="8" borderId="11" xfId="0" applyNumberFormat="1" applyFont="1" applyFill="1" applyBorder="1"/>
    <xf numFmtId="9" fontId="13" fillId="0" borderId="0" xfId="3" applyFont="1"/>
    <xf numFmtId="9" fontId="13" fillId="0" borderId="17" xfId="3" applyFont="1" applyBorder="1"/>
    <xf numFmtId="43" fontId="13" fillId="0" borderId="0" xfId="0" applyNumberFormat="1" applyFont="1"/>
    <xf numFmtId="43" fontId="13" fillId="0" borderId="0" xfId="2" applyFont="1"/>
    <xf numFmtId="0" fontId="13" fillId="0" borderId="0" xfId="0" applyFont="1"/>
    <xf numFmtId="166" fontId="13" fillId="12" borderId="11" xfId="2" applyNumberFormat="1" applyFont="1" applyFill="1" applyBorder="1"/>
    <xf numFmtId="168" fontId="13" fillId="0" borderId="15" xfId="0" applyNumberFormat="1" applyFont="1" applyBorder="1"/>
    <xf numFmtId="0" fontId="15" fillId="0" borderId="11" xfId="0" applyFont="1" applyBorder="1"/>
    <xf numFmtId="43" fontId="15" fillId="9" borderId="11" xfId="2" applyFont="1" applyFill="1" applyBorder="1" applyAlignment="1">
      <alignment horizontal="left"/>
    </xf>
    <xf numFmtId="166" fontId="15" fillId="9" borderId="11" xfId="2" applyNumberFormat="1" applyFont="1" applyFill="1" applyBorder="1" applyAlignment="1">
      <alignment horizontal="left"/>
    </xf>
    <xf numFmtId="168" fontId="13" fillId="0" borderId="12" xfId="0" applyNumberFormat="1" applyFont="1" applyBorder="1"/>
    <xf numFmtId="43" fontId="15" fillId="9" borderId="15" xfId="2" applyFont="1" applyFill="1" applyBorder="1" applyAlignment="1">
      <alignment horizontal="left"/>
    </xf>
    <xf numFmtId="43" fontId="15" fillId="9" borderId="0" xfId="2" applyFont="1" applyFill="1" applyAlignment="1">
      <alignment horizontal="left"/>
    </xf>
    <xf numFmtId="9" fontId="15" fillId="9" borderId="0" xfId="0" applyNumberFormat="1" applyFont="1" applyFill="1" applyAlignment="1">
      <alignment horizontal="left"/>
    </xf>
    <xf numFmtId="9" fontId="15" fillId="0" borderId="0" xfId="0" applyNumberFormat="1" applyFont="1" applyAlignment="1">
      <alignment horizontal="left"/>
    </xf>
    <xf numFmtId="0" fontId="13" fillId="12" borderId="11" xfId="0" applyFont="1" applyFill="1" applyBorder="1"/>
    <xf numFmtId="0" fontId="16" fillId="0" borderId="11" xfId="0" applyFont="1" applyBorder="1"/>
    <xf numFmtId="9" fontId="15" fillId="9" borderId="15" xfId="0" applyNumberFormat="1" applyFont="1" applyFill="1" applyBorder="1" applyAlignment="1">
      <alignment horizontal="left"/>
    </xf>
    <xf numFmtId="9" fontId="15" fillId="0" borderId="17" xfId="0" applyNumberFormat="1" applyFont="1" applyBorder="1" applyAlignment="1">
      <alignment horizontal="left"/>
    </xf>
    <xf numFmtId="166" fontId="15" fillId="9" borderId="15" xfId="2" applyNumberFormat="1" applyFont="1" applyFill="1" applyBorder="1" applyAlignment="1">
      <alignment horizontal="left"/>
    </xf>
    <xf numFmtId="166" fontId="15" fillId="9" borderId="0" xfId="2" applyNumberFormat="1" applyFont="1" applyFill="1" applyAlignment="1">
      <alignment horizontal="left"/>
    </xf>
    <xf numFmtId="0" fontId="13" fillId="12" borderId="11" xfId="0" applyFont="1" applyFill="1" applyBorder="1" applyAlignment="1">
      <alignment wrapText="1"/>
    </xf>
    <xf numFmtId="166" fontId="15" fillId="9" borderId="13" xfId="2" applyNumberFormat="1" applyFont="1" applyFill="1" applyBorder="1" applyAlignment="1">
      <alignment horizontal="left"/>
    </xf>
    <xf numFmtId="0" fontId="17" fillId="7" borderId="11" xfId="0" applyFont="1" applyFill="1" applyBorder="1"/>
    <xf numFmtId="0" fontId="15" fillId="7" borderId="11" xfId="0" applyFont="1" applyFill="1" applyBorder="1" applyAlignment="1">
      <alignment horizontal="left"/>
    </xf>
    <xf numFmtId="0" fontId="15" fillId="7" borderId="11" xfId="0" applyFont="1" applyFill="1" applyBorder="1"/>
    <xf numFmtId="43" fontId="15" fillId="7" borderId="11" xfId="2" applyFont="1" applyFill="1" applyBorder="1"/>
    <xf numFmtId="166" fontId="15" fillId="7" borderId="11" xfId="2" applyNumberFormat="1" applyFont="1" applyFill="1" applyBorder="1"/>
    <xf numFmtId="0" fontId="17" fillId="0" borderId="0" xfId="0" applyFont="1"/>
    <xf numFmtId="166" fontId="13" fillId="0" borderId="0" xfId="0" applyNumberFormat="1" applyFont="1"/>
    <xf numFmtId="43" fontId="17" fillId="0" borderId="0" xfId="0" applyNumberFormat="1" applyFont="1"/>
    <xf numFmtId="43" fontId="13" fillId="0" borderId="0" xfId="6" applyFont="1"/>
    <xf numFmtId="0" fontId="17" fillId="0" borderId="0" xfId="0" applyFont="1" applyAlignment="1">
      <alignment horizontal="left"/>
    </xf>
    <xf numFmtId="169" fontId="17" fillId="0" borderId="0" xfId="7" applyNumberFormat="1" applyFont="1" applyAlignment="1">
      <alignment horizontal="center"/>
    </xf>
    <xf numFmtId="0" fontId="18" fillId="0" borderId="0" xfId="0" applyFont="1"/>
    <xf numFmtId="0" fontId="17" fillId="0" borderId="18" xfId="0" applyFont="1" applyBorder="1"/>
    <xf numFmtId="43" fontId="17" fillId="0" borderId="0" xfId="8" applyFont="1"/>
    <xf numFmtId="2" fontId="17" fillId="0" borderId="0" xfId="0" applyNumberFormat="1" applyFont="1"/>
    <xf numFmtId="0" fontId="19" fillId="0" borderId="0" xfId="0" applyFont="1"/>
    <xf numFmtId="43" fontId="11" fillId="0" borderId="0" xfId="0" applyNumberFormat="1" applyFont="1" applyAlignment="1">
      <alignment horizontal="left"/>
    </xf>
    <xf numFmtId="0" fontId="8" fillId="2" borderId="0" xfId="0" applyFont="1" applyFill="1"/>
    <xf numFmtId="49" fontId="0" fillId="0" borderId="0" xfId="0" applyNumberFormat="1" applyAlignment="1">
      <alignment horizontal="center"/>
    </xf>
    <xf numFmtId="49" fontId="6" fillId="0" borderId="0" xfId="0" applyNumberFormat="1" applyFont="1"/>
    <xf numFmtId="4" fontId="0" fillId="0" borderId="0" xfId="0" applyNumberFormat="1"/>
    <xf numFmtId="164" fontId="0" fillId="0" borderId="0" xfId="0" applyNumberFormat="1"/>
    <xf numFmtId="43" fontId="7" fillId="0" borderId="0" xfId="0" applyNumberFormat="1" applyFont="1"/>
    <xf numFmtId="0" fontId="8" fillId="0" borderId="21" xfId="0" applyFont="1" applyBorder="1"/>
    <xf numFmtId="0" fontId="7" fillId="0" borderId="22" xfId="0" applyFont="1" applyBorder="1"/>
    <xf numFmtId="43" fontId="7" fillId="0" borderId="22" xfId="1" applyFont="1" applyBorder="1"/>
    <xf numFmtId="0" fontId="7" fillId="0" borderId="23" xfId="0" applyFont="1" applyBorder="1"/>
    <xf numFmtId="43" fontId="7" fillId="0" borderId="26" xfId="1" applyFont="1" applyBorder="1"/>
    <xf numFmtId="0" fontId="7" fillId="0" borderId="28" xfId="0" applyFont="1" applyBorder="1"/>
    <xf numFmtId="0" fontId="8" fillId="0" borderId="19" xfId="0" applyFont="1" applyBorder="1"/>
    <xf numFmtId="0" fontId="8" fillId="0" borderId="20" xfId="0" applyFont="1" applyBorder="1"/>
    <xf numFmtId="0" fontId="8" fillId="0" borderId="27" xfId="0" applyFont="1" applyBorder="1"/>
    <xf numFmtId="43" fontId="25" fillId="13" borderId="26" xfId="0" applyNumberFormat="1" applyFont="1" applyFill="1" applyBorder="1"/>
    <xf numFmtId="43" fontId="7" fillId="0" borderId="32" xfId="1" applyFont="1" applyBorder="1"/>
    <xf numFmtId="43" fontId="7" fillId="14" borderId="26" xfId="1" applyFont="1" applyFill="1" applyBorder="1"/>
    <xf numFmtId="43" fontId="7" fillId="15" borderId="32" xfId="1" applyFont="1" applyFill="1" applyBorder="1"/>
    <xf numFmtId="43" fontId="7" fillId="2" borderId="26" xfId="1" applyFont="1" applyFill="1" applyBorder="1"/>
    <xf numFmtId="43" fontId="7" fillId="0" borderId="33" xfId="1" applyFont="1" applyBorder="1"/>
    <xf numFmtId="0" fontId="8" fillId="12" borderId="0" xfId="0" applyFont="1" applyFill="1"/>
    <xf numFmtId="170" fontId="27" fillId="0" borderId="0" xfId="9" applyNumberFormat="1" applyFont="1" applyAlignment="1">
      <alignment horizontal="right" wrapText="1"/>
    </xf>
    <xf numFmtId="164" fontId="5" fillId="0" borderId="0" xfId="0" applyNumberFormat="1" applyFont="1"/>
    <xf numFmtId="0" fontId="26" fillId="0" borderId="0" xfId="9"/>
    <xf numFmtId="0" fontId="26" fillId="0" borderId="0" xfId="9" applyAlignment="1">
      <alignment wrapText="1"/>
    </xf>
    <xf numFmtId="49" fontId="5" fillId="0" borderId="0" xfId="0" applyNumberFormat="1" applyFont="1" applyAlignment="1">
      <alignment horizontal="left" vertical="top"/>
    </xf>
    <xf numFmtId="0" fontId="30" fillId="0" borderId="34" xfId="9" applyFont="1" applyBorder="1" applyAlignment="1">
      <alignment horizontal="center" wrapText="1"/>
    </xf>
    <xf numFmtId="0" fontId="31" fillId="0" borderId="0" xfId="9" applyFont="1" applyAlignment="1">
      <alignment horizontal="left" wrapText="1"/>
    </xf>
    <xf numFmtId="170" fontId="27" fillId="0" borderId="0" xfId="9" applyNumberFormat="1" applyFont="1" applyAlignment="1">
      <alignment wrapText="1"/>
    </xf>
    <xf numFmtId="171" fontId="31" fillId="0" borderId="24" xfId="9" applyNumberFormat="1" applyFont="1" applyBorder="1" applyAlignment="1">
      <alignment horizontal="right" wrapText="1"/>
    </xf>
    <xf numFmtId="166" fontId="25" fillId="0" borderId="32" xfId="1" applyNumberFormat="1" applyFont="1" applyBorder="1"/>
    <xf numFmtId="166" fontId="7" fillId="0" borderId="32" xfId="1" applyNumberFormat="1" applyFont="1" applyBorder="1"/>
    <xf numFmtId="166" fontId="7" fillId="0" borderId="33" xfId="0" applyNumberFormat="1" applyFont="1" applyBorder="1"/>
    <xf numFmtId="166" fontId="7" fillId="0" borderId="0" xfId="0" applyNumberFormat="1" applyFont="1"/>
    <xf numFmtId="0" fontId="24" fillId="0" borderId="20" xfId="0" applyFont="1" applyBorder="1"/>
    <xf numFmtId="0" fontId="24" fillId="0" borderId="0" xfId="0" applyFont="1"/>
    <xf numFmtId="43" fontId="7" fillId="17" borderId="32" xfId="1" applyFont="1" applyFill="1" applyBorder="1"/>
    <xf numFmtId="43" fontId="25" fillId="13" borderId="26" xfId="1" applyFont="1" applyFill="1" applyBorder="1"/>
    <xf numFmtId="43" fontId="7" fillId="3" borderId="32" xfId="1" applyFont="1" applyFill="1" applyBorder="1"/>
    <xf numFmtId="43" fontId="25" fillId="17" borderId="32" xfId="1" applyFont="1" applyFill="1" applyBorder="1"/>
    <xf numFmtId="0" fontId="8" fillId="0" borderId="35" xfId="0" applyFont="1" applyBorder="1"/>
    <xf numFmtId="43" fontId="25" fillId="13" borderId="36" xfId="0" applyNumberFormat="1" applyFont="1" applyFill="1" applyBorder="1"/>
    <xf numFmtId="43" fontId="25" fillId="2" borderId="37" xfId="0" applyNumberFormat="1" applyFont="1" applyFill="1" applyBorder="1"/>
    <xf numFmtId="0" fontId="7" fillId="0" borderId="38" xfId="0" applyFont="1" applyBorder="1"/>
    <xf numFmtId="43" fontId="7" fillId="16" borderId="38" xfId="1" applyFont="1" applyFill="1" applyBorder="1"/>
    <xf numFmtId="0" fontId="8" fillId="2" borderId="41" xfId="0" applyFont="1" applyFill="1" applyBorder="1"/>
    <xf numFmtId="0" fontId="7" fillId="2" borderId="42" xfId="0" applyFont="1" applyFill="1" applyBorder="1"/>
    <xf numFmtId="0" fontId="24" fillId="0" borderId="25" xfId="0" applyFont="1" applyBorder="1" applyAlignment="1">
      <alignment horizontal="center"/>
    </xf>
    <xf numFmtId="0" fontId="8" fillId="0" borderId="25" xfId="0" applyFont="1" applyBorder="1" applyAlignment="1">
      <alignment horizontal="center"/>
    </xf>
    <xf numFmtId="0" fontId="8" fillId="0" borderId="30" xfId="0" applyFont="1" applyBorder="1" applyAlignment="1">
      <alignment horizontal="center"/>
    </xf>
    <xf numFmtId="0" fontId="24" fillId="0" borderId="30" xfId="0" applyFont="1" applyBorder="1" applyAlignment="1">
      <alignment horizontal="center"/>
    </xf>
    <xf numFmtId="0" fontId="8" fillId="0" borderId="31" xfId="0" applyFont="1" applyBorder="1" applyAlignment="1">
      <alignment horizontal="center"/>
    </xf>
    <xf numFmtId="0" fontId="8" fillId="0" borderId="0" xfId="0" applyFont="1" applyAlignment="1">
      <alignment horizontal="center"/>
    </xf>
    <xf numFmtId="166" fontId="25" fillId="13" borderId="37" xfId="0" applyNumberFormat="1" applyFont="1" applyFill="1" applyBorder="1"/>
    <xf numFmtId="166" fontId="25" fillId="2" borderId="37" xfId="0" applyNumberFormat="1" applyFont="1" applyFill="1" applyBorder="1"/>
    <xf numFmtId="166" fontId="25" fillId="13" borderId="32" xfId="1" applyNumberFormat="1" applyFont="1" applyFill="1" applyBorder="1"/>
    <xf numFmtId="0" fontId="24" fillId="0" borderId="29" xfId="0" applyFont="1" applyBorder="1" applyAlignment="1">
      <alignment horizontal="center"/>
    </xf>
    <xf numFmtId="0" fontId="24" fillId="0" borderId="19" xfId="0" applyFont="1" applyBorder="1"/>
    <xf numFmtId="43" fontId="7" fillId="0" borderId="36" xfId="1" applyFont="1" applyBorder="1"/>
    <xf numFmtId="43" fontId="7" fillId="17" borderId="37" xfId="1" applyFont="1" applyFill="1" applyBorder="1"/>
    <xf numFmtId="166" fontId="7" fillId="0" borderId="37" xfId="1" applyNumberFormat="1" applyFont="1" applyBorder="1"/>
    <xf numFmtId="0" fontId="8" fillId="0" borderId="49" xfId="0" applyFont="1" applyBorder="1" applyAlignment="1">
      <alignment horizontal="center"/>
    </xf>
    <xf numFmtId="0" fontId="8" fillId="0" borderId="50" xfId="0" applyFont="1" applyBorder="1"/>
    <xf numFmtId="43" fontId="7" fillId="14" borderId="51" xfId="1" applyFont="1" applyFill="1" applyBorder="1"/>
    <xf numFmtId="43" fontId="7" fillId="0" borderId="48" xfId="1" applyFont="1" applyBorder="1"/>
    <xf numFmtId="166" fontId="7" fillId="0" borderId="48" xfId="1" applyNumberFormat="1" applyFont="1" applyBorder="1"/>
    <xf numFmtId="43" fontId="25" fillId="3" borderId="32" xfId="1" applyFont="1" applyFill="1" applyBorder="1"/>
    <xf numFmtId="43" fontId="32" fillId="3" borderId="32" xfId="1" applyFont="1" applyFill="1" applyBorder="1"/>
    <xf numFmtId="0" fontId="0" fillId="0" borderId="0" xfId="0" applyAlignment="1">
      <alignment wrapText="1"/>
    </xf>
    <xf numFmtId="0" fontId="30" fillId="0" borderId="34" xfId="0" applyFont="1" applyBorder="1" applyAlignment="1">
      <alignment horizontal="center" wrapText="1"/>
    </xf>
    <xf numFmtId="0" fontId="31" fillId="0" borderId="0" xfId="0" applyFont="1" applyAlignment="1">
      <alignment horizontal="left" wrapText="1"/>
    </xf>
    <xf numFmtId="170" fontId="27" fillId="0" borderId="0" xfId="0" applyNumberFormat="1" applyFont="1" applyAlignment="1">
      <alignment horizontal="right" wrapText="1"/>
    </xf>
    <xf numFmtId="170" fontId="27" fillId="0" borderId="0" xfId="0" applyNumberFormat="1" applyFont="1" applyAlignment="1">
      <alignment wrapText="1"/>
    </xf>
    <xf numFmtId="166" fontId="7" fillId="13" borderId="32" xfId="1" applyNumberFormat="1" applyFont="1" applyFill="1" applyBorder="1"/>
    <xf numFmtId="166" fontId="7" fillId="2" borderId="32" xfId="1" applyNumberFormat="1" applyFont="1" applyFill="1" applyBorder="1"/>
    <xf numFmtId="0" fontId="8" fillId="3" borderId="54" xfId="0" applyFont="1" applyFill="1" applyBorder="1" applyAlignment="1">
      <alignment horizontal="center"/>
    </xf>
    <xf numFmtId="0" fontId="8" fillId="3" borderId="55" xfId="0" applyFont="1" applyFill="1" applyBorder="1"/>
    <xf numFmtId="43" fontId="7" fillId="3" borderId="56" xfId="1" applyFont="1" applyFill="1" applyBorder="1"/>
    <xf numFmtId="43" fontId="7" fillId="3" borderId="53" xfId="1" applyFont="1" applyFill="1" applyBorder="1"/>
    <xf numFmtId="166" fontId="7" fillId="3" borderId="53" xfId="1" applyNumberFormat="1" applyFont="1" applyFill="1" applyBorder="1"/>
    <xf numFmtId="0" fontId="7" fillId="2" borderId="41" xfId="0" applyFont="1" applyFill="1" applyBorder="1" applyAlignment="1">
      <alignment horizontal="center" vertical="center"/>
    </xf>
    <xf numFmtId="43" fontId="8" fillId="2" borderId="41" xfId="1" applyFont="1" applyFill="1" applyBorder="1" applyAlignment="1">
      <alignment horizontal="center" vertical="center"/>
    </xf>
    <xf numFmtId="43" fontId="36" fillId="3" borderId="32" xfId="1" applyFont="1" applyFill="1" applyBorder="1"/>
    <xf numFmtId="43" fontId="25" fillId="15" borderId="32" xfId="1" applyFont="1" applyFill="1" applyBorder="1"/>
    <xf numFmtId="166" fontId="25" fillId="17" borderId="32" xfId="1" applyNumberFormat="1" applyFont="1" applyFill="1" applyBorder="1"/>
    <xf numFmtId="166" fontId="25" fillId="3" borderId="32" xfId="1" applyNumberFormat="1" applyFont="1" applyFill="1" applyBorder="1"/>
    <xf numFmtId="166" fontId="36" fillId="3" borderId="32" xfId="1" applyNumberFormat="1" applyFont="1" applyFill="1" applyBorder="1"/>
    <xf numFmtId="0" fontId="26" fillId="0" borderId="0" xfId="9" applyAlignment="1">
      <alignment vertical="center"/>
    </xf>
    <xf numFmtId="0" fontId="26" fillId="0" borderId="0" xfId="9" applyAlignment="1">
      <alignment vertical="center" wrapText="1"/>
    </xf>
    <xf numFmtId="0" fontId="30" fillId="0" borderId="34" xfId="9" applyFont="1" applyBorder="1" applyAlignment="1">
      <alignment horizontal="center" vertical="center" wrapText="1"/>
    </xf>
    <xf numFmtId="170" fontId="27" fillId="0" borderId="0" xfId="9" applyNumberFormat="1" applyFont="1" applyAlignment="1">
      <alignment vertical="center" wrapText="1"/>
    </xf>
    <xf numFmtId="0" fontId="8" fillId="0" borderId="0" xfId="0" applyFont="1" applyAlignment="1">
      <alignment vertical="center"/>
    </xf>
    <xf numFmtId="0" fontId="27" fillId="0" borderId="0" xfId="9" applyFont="1" applyAlignment="1">
      <alignment horizontal="left" vertical="center" wrapText="1"/>
    </xf>
    <xf numFmtId="43" fontId="27" fillId="0" borderId="0" xfId="1" applyFont="1" applyAlignment="1">
      <alignment horizontal="right" vertical="center" wrapText="1"/>
    </xf>
    <xf numFmtId="0" fontId="31" fillId="0" borderId="0" xfId="9" applyFont="1" applyAlignment="1">
      <alignment horizontal="left" vertical="center" wrapText="1"/>
    </xf>
    <xf numFmtId="171" fontId="31" fillId="0" borderId="24" xfId="9" applyNumberFormat="1" applyFont="1" applyBorder="1" applyAlignment="1">
      <alignment horizontal="right" vertical="center" wrapText="1"/>
    </xf>
    <xf numFmtId="171" fontId="31" fillId="2" borderId="52" xfId="9" applyNumberFormat="1" applyFont="1" applyFill="1" applyBorder="1" applyAlignment="1">
      <alignment horizontal="right" vertical="center" wrapText="1"/>
    </xf>
    <xf numFmtId="0" fontId="0" fillId="0" borderId="0" xfId="0" applyAlignment="1">
      <alignment vertical="center"/>
    </xf>
    <xf numFmtId="0" fontId="31" fillId="0" borderId="0" xfId="9" applyFont="1" applyAlignment="1">
      <alignment horizontal="right" vertical="center" wrapText="1"/>
    </xf>
    <xf numFmtId="171" fontId="31" fillId="2" borderId="24" xfId="9" applyNumberFormat="1" applyFont="1" applyFill="1" applyBorder="1" applyAlignment="1">
      <alignment horizontal="right" vertical="center" wrapText="1"/>
    </xf>
    <xf numFmtId="0" fontId="33" fillId="0" borderId="0" xfId="9" applyFont="1" applyAlignment="1">
      <alignment horizontal="right" vertical="center" wrapText="1"/>
    </xf>
    <xf numFmtId="0" fontId="30" fillId="0" borderId="34" xfId="9" applyFont="1" applyBorder="1" applyAlignment="1">
      <alignment horizontal="right" vertical="center" wrapText="1"/>
    </xf>
    <xf numFmtId="0" fontId="30" fillId="0" borderId="0" xfId="9" applyFont="1" applyAlignment="1">
      <alignment horizontal="right" vertical="center" wrapText="1"/>
    </xf>
    <xf numFmtId="0" fontId="31" fillId="0" borderId="0" xfId="9" applyFont="1" applyAlignment="1">
      <alignment vertical="center" wrapText="1"/>
    </xf>
    <xf numFmtId="170" fontId="27" fillId="0" borderId="0" xfId="9" applyNumberFormat="1" applyFont="1" applyAlignment="1">
      <alignment horizontal="right" vertical="center" wrapText="1"/>
    </xf>
    <xf numFmtId="0" fontId="31" fillId="0" borderId="0" xfId="0" applyFont="1" applyAlignment="1">
      <alignment horizontal="left" vertical="center" wrapText="1"/>
    </xf>
    <xf numFmtId="0" fontId="27" fillId="0" borderId="0" xfId="9" applyFont="1" applyAlignment="1">
      <alignment horizontal="right" vertical="center" wrapText="1"/>
    </xf>
    <xf numFmtId="0" fontId="27" fillId="0" borderId="34" xfId="9" applyFont="1" applyBorder="1" applyAlignment="1">
      <alignment horizontal="right" vertical="center" wrapText="1"/>
    </xf>
    <xf numFmtId="0" fontId="26" fillId="0" borderId="0" xfId="9" applyAlignment="1">
      <alignment horizontal="right" vertical="center"/>
    </xf>
    <xf numFmtId="166" fontId="26" fillId="0" borderId="0" xfId="1" applyNumberFormat="1" applyFont="1" applyAlignment="1">
      <alignment vertical="center"/>
    </xf>
    <xf numFmtId="171" fontId="31" fillId="13" borderId="52" xfId="9" applyNumberFormat="1" applyFont="1" applyFill="1" applyBorder="1" applyAlignment="1">
      <alignment horizontal="right" vertical="center" wrapText="1"/>
    </xf>
    <xf numFmtId="0" fontId="26" fillId="17" borderId="0" xfId="9" applyFill="1" applyAlignment="1">
      <alignment vertical="center"/>
    </xf>
    <xf numFmtId="166" fontId="26" fillId="17" borderId="0" xfId="1" applyNumberFormat="1" applyFont="1" applyFill="1" applyAlignment="1">
      <alignment vertical="center"/>
    </xf>
    <xf numFmtId="166" fontId="26" fillId="17" borderId="34" xfId="1" applyNumberFormat="1" applyFont="1" applyFill="1" applyBorder="1" applyAlignment="1">
      <alignment vertical="center"/>
    </xf>
    <xf numFmtId="166" fontId="37" fillId="17" borderId="52" xfId="1" applyNumberFormat="1" applyFont="1" applyFill="1" applyBorder="1" applyAlignment="1">
      <alignment vertical="center"/>
    </xf>
    <xf numFmtId="0" fontId="37" fillId="17" borderId="0" xfId="9" applyFont="1" applyFill="1" applyAlignment="1">
      <alignment vertical="center"/>
    </xf>
    <xf numFmtId="0" fontId="37" fillId="17" borderId="0" xfId="9" applyFont="1" applyFill="1" applyAlignment="1">
      <alignment horizontal="left" vertical="center"/>
    </xf>
    <xf numFmtId="166" fontId="37" fillId="17" borderId="0" xfId="1" applyNumberFormat="1" applyFont="1" applyFill="1" applyAlignment="1">
      <alignment horizontal="center" vertical="center"/>
    </xf>
    <xf numFmtId="166" fontId="0" fillId="0" borderId="0" xfId="1" applyNumberFormat="1" applyFont="1"/>
    <xf numFmtId="171" fontId="31" fillId="0" borderId="52" xfId="0" applyNumberFormat="1" applyFont="1" applyBorder="1" applyAlignment="1">
      <alignment horizontal="right" wrapText="1"/>
    </xf>
    <xf numFmtId="0" fontId="35" fillId="17" borderId="0" xfId="0" applyFont="1" applyFill="1" applyAlignment="1">
      <alignment horizontal="center"/>
    </xf>
    <xf numFmtId="0" fontId="35" fillId="17" borderId="34" xfId="0" applyFont="1" applyFill="1" applyBorder="1" applyAlignment="1">
      <alignment horizontal="center"/>
    </xf>
    <xf numFmtId="166" fontId="35" fillId="17" borderId="34" xfId="1" applyNumberFormat="1" applyFont="1" applyFill="1" applyBorder="1" applyAlignment="1">
      <alignment horizontal="center"/>
    </xf>
    <xf numFmtId="166" fontId="0" fillId="17" borderId="0" xfId="1" applyNumberFormat="1" applyFont="1" applyFill="1"/>
    <xf numFmtId="166" fontId="0" fillId="17" borderId="34" xfId="1" applyNumberFormat="1" applyFont="1" applyFill="1" applyBorder="1"/>
    <xf numFmtId="166" fontId="35" fillId="17" borderId="52" xfId="0" applyNumberFormat="1" applyFont="1" applyFill="1" applyBorder="1"/>
    <xf numFmtId="166" fontId="35" fillId="17" borderId="52" xfId="1" applyNumberFormat="1" applyFont="1" applyFill="1" applyBorder="1"/>
    <xf numFmtId="0" fontId="31" fillId="0" borderId="0" xfId="0" applyFont="1" applyAlignment="1">
      <alignment horizontal="center" wrapText="1"/>
    </xf>
    <xf numFmtId="0" fontId="0" fillId="2" borderId="0" xfId="0" applyFill="1"/>
    <xf numFmtId="0" fontId="26" fillId="17" borderId="0" xfId="9" applyFill="1" applyAlignment="1">
      <alignment horizontal="left" vertical="center"/>
    </xf>
    <xf numFmtId="166" fontId="26" fillId="17" borderId="0" xfId="9" applyNumberFormat="1" applyFill="1" applyAlignment="1">
      <alignment vertical="center"/>
    </xf>
    <xf numFmtId="166" fontId="26" fillId="17" borderId="34" xfId="9" applyNumberFormat="1" applyFill="1" applyBorder="1" applyAlignment="1">
      <alignment vertical="center"/>
    </xf>
    <xf numFmtId="0" fontId="26" fillId="17" borderId="34" xfId="9" applyFill="1" applyBorder="1" applyAlignment="1">
      <alignment vertical="center"/>
    </xf>
    <xf numFmtId="166" fontId="37" fillId="17" borderId="0" xfId="9" applyNumberFormat="1" applyFont="1" applyFill="1" applyAlignment="1">
      <alignment vertical="center"/>
    </xf>
    <xf numFmtId="166" fontId="37" fillId="17" borderId="52" xfId="9" applyNumberFormat="1" applyFont="1" applyFill="1" applyBorder="1" applyAlignment="1">
      <alignment vertical="center"/>
    </xf>
    <xf numFmtId="172" fontId="31" fillId="17" borderId="24" xfId="9" applyNumberFormat="1" applyFont="1" applyFill="1" applyBorder="1" applyAlignment="1">
      <alignment horizontal="right" vertical="center" wrapText="1"/>
    </xf>
    <xf numFmtId="171" fontId="31" fillId="2" borderId="0" xfId="9" applyNumberFormat="1" applyFont="1" applyFill="1" applyAlignment="1">
      <alignment horizontal="right" vertical="center" wrapText="1"/>
    </xf>
    <xf numFmtId="0" fontId="26" fillId="2" borderId="0" xfId="9" applyFill="1" applyAlignment="1">
      <alignment vertical="center"/>
    </xf>
    <xf numFmtId="0" fontId="28" fillId="0" borderId="0" xfId="9" applyFont="1" applyAlignment="1">
      <alignment horizontal="center"/>
    </xf>
    <xf numFmtId="0" fontId="26" fillId="0" borderId="0" xfId="9"/>
    <xf numFmtId="0" fontId="29" fillId="0" borderId="0" xfId="9" applyFont="1" applyAlignment="1">
      <alignment horizontal="center"/>
    </xf>
    <xf numFmtId="0" fontId="27" fillId="0" borderId="0" xfId="9" applyFont="1" applyAlignment="1">
      <alignment horizontal="center"/>
    </xf>
    <xf numFmtId="0" fontId="31" fillId="0" borderId="0" xfId="9" applyFont="1" applyAlignment="1">
      <alignment horizontal="right" vertical="center" wrapText="1"/>
    </xf>
    <xf numFmtId="0" fontId="33" fillId="2" borderId="0" xfId="9" applyFont="1" applyFill="1" applyAlignment="1">
      <alignment horizontal="right" vertical="center" wrapText="1"/>
    </xf>
    <xf numFmtId="0" fontId="37" fillId="17" borderId="0" xfId="9" applyFont="1" applyFill="1" applyAlignment="1">
      <alignment horizontal="center" vertical="center"/>
    </xf>
    <xf numFmtId="0" fontId="31" fillId="0" borderId="0" xfId="9" applyFont="1" applyAlignment="1">
      <alignment horizontal="center" vertical="center" wrapText="1"/>
    </xf>
    <xf numFmtId="0" fontId="34" fillId="2" borderId="0" xfId="9" applyFont="1" applyFill="1" applyAlignment="1">
      <alignment horizontal="right" vertical="center" wrapText="1"/>
    </xf>
    <xf numFmtId="0" fontId="28" fillId="0" borderId="0" xfId="9" applyFont="1" applyAlignment="1">
      <alignment horizontal="center" vertical="center"/>
    </xf>
    <xf numFmtId="0" fontId="29" fillId="0" borderId="0" xfId="9" applyFont="1" applyAlignment="1">
      <alignment horizontal="center" vertical="center"/>
    </xf>
    <xf numFmtId="0" fontId="27" fillId="0" borderId="0" xfId="9" applyFont="1" applyAlignment="1">
      <alignment horizontal="center" vertical="center"/>
    </xf>
    <xf numFmtId="0" fontId="26" fillId="0" borderId="0" xfId="9" applyAlignment="1">
      <alignment vertical="center"/>
    </xf>
    <xf numFmtId="0" fontId="31" fillId="0" borderId="0" xfId="9" applyFont="1" applyAlignment="1">
      <alignment horizontal="left" vertical="center" wrapText="1"/>
    </xf>
    <xf numFmtId="0" fontId="27" fillId="0" borderId="0" xfId="0" applyFont="1" applyAlignment="1">
      <alignment horizontal="center"/>
    </xf>
    <xf numFmtId="0" fontId="0" fillId="0" borderId="0" xfId="0"/>
    <xf numFmtId="0" fontId="28" fillId="0" borderId="0" xfId="0" applyFont="1" applyAlignment="1">
      <alignment horizontal="center"/>
    </xf>
    <xf numFmtId="0" fontId="29" fillId="0" borderId="0" xfId="0" applyFont="1" applyAlignment="1">
      <alignment horizontal="center"/>
    </xf>
    <xf numFmtId="0" fontId="7" fillId="2" borderId="11" xfId="0" applyFont="1" applyFill="1" applyBorder="1" applyAlignment="1">
      <alignment horizontal="center"/>
    </xf>
    <xf numFmtId="0" fontId="8" fillId="2" borderId="11" xfId="0" applyFont="1" applyFill="1" applyBorder="1" applyAlignment="1">
      <alignment horizontal="center"/>
    </xf>
    <xf numFmtId="0" fontId="8" fillId="2" borderId="40" xfId="0" applyFont="1" applyFill="1" applyBorder="1" applyAlignment="1">
      <alignment horizontal="center"/>
    </xf>
    <xf numFmtId="0" fontId="7" fillId="0" borderId="38" xfId="0" applyFont="1" applyBorder="1" applyAlignment="1">
      <alignment horizontal="center"/>
    </xf>
    <xf numFmtId="0" fontId="7" fillId="0" borderId="39" xfId="0" applyFont="1" applyBorder="1" applyAlignment="1">
      <alignment horizontal="center"/>
    </xf>
    <xf numFmtId="0" fontId="8" fillId="0" borderId="43" xfId="0" applyFont="1" applyBorder="1" applyAlignment="1">
      <alignment horizontal="center" wrapText="1"/>
    </xf>
    <xf numFmtId="0" fontId="8" fillId="0" borderId="44" xfId="0" applyFont="1" applyBorder="1" applyAlignment="1">
      <alignment horizontal="center" wrapText="1"/>
    </xf>
    <xf numFmtId="0" fontId="8" fillId="0" borderId="45" xfId="0" applyFont="1" applyBorder="1" applyAlignment="1">
      <alignment horizontal="center" wrapText="1"/>
    </xf>
    <xf numFmtId="0" fontId="8" fillId="0" borderId="46" xfId="0" applyFont="1" applyBorder="1" applyAlignment="1">
      <alignment horizontal="center"/>
    </xf>
    <xf numFmtId="0" fontId="8" fillId="0" borderId="9" xfId="0" applyFont="1" applyBorder="1" applyAlignment="1">
      <alignment horizontal="center"/>
    </xf>
    <xf numFmtId="0" fontId="8" fillId="0" borderId="47" xfId="0" applyFont="1" applyBorder="1" applyAlignment="1">
      <alignment horizontal="center"/>
    </xf>
    <xf numFmtId="0" fontId="24" fillId="0" borderId="46" xfId="0" applyFont="1" applyBorder="1" applyAlignment="1">
      <alignment horizontal="center" vertical="center"/>
    </xf>
    <xf numFmtId="0" fontId="24" fillId="0" borderId="9" xfId="0" applyFont="1" applyBorder="1" applyAlignment="1">
      <alignment horizontal="center" vertical="center"/>
    </xf>
    <xf numFmtId="0" fontId="24" fillId="0" borderId="47" xfId="0" applyFont="1" applyBorder="1" applyAlignment="1">
      <alignment horizontal="center" vertical="center"/>
    </xf>
    <xf numFmtId="0" fontId="11" fillId="7" borderId="5" xfId="0" applyFont="1" applyFill="1" applyBorder="1" applyAlignment="1">
      <alignment horizontal="center" vertical="center"/>
    </xf>
    <xf numFmtId="0" fontId="11" fillId="7" borderId="9" xfId="0" applyFont="1" applyFill="1" applyBorder="1" applyAlignment="1">
      <alignment horizontal="center" vertical="center"/>
    </xf>
    <xf numFmtId="0" fontId="11" fillId="8" borderId="13" xfId="0" applyFont="1" applyFill="1" applyBorder="1" applyAlignment="1">
      <alignment horizontal="center"/>
    </xf>
    <xf numFmtId="0" fontId="11" fillId="7" borderId="13" xfId="0" applyFont="1" applyFill="1" applyBorder="1" applyAlignment="1">
      <alignment horizontal="center"/>
    </xf>
    <xf numFmtId="0" fontId="11" fillId="7" borderId="14" xfId="0" applyFont="1" applyFill="1" applyBorder="1" applyAlignment="1">
      <alignment horizontal="center"/>
    </xf>
    <xf numFmtId="0" fontId="11" fillId="7" borderId="15" xfId="0" applyFont="1" applyFill="1" applyBorder="1" applyAlignment="1">
      <alignment horizontal="center"/>
    </xf>
    <xf numFmtId="165" fontId="12" fillId="6" borderId="0" xfId="0" applyNumberFormat="1" applyFont="1" applyFill="1" applyAlignment="1">
      <alignment horizontal="center"/>
    </xf>
    <xf numFmtId="0" fontId="11" fillId="8" borderId="5" xfId="0" applyFont="1" applyFill="1" applyBorder="1" applyAlignment="1">
      <alignment horizontal="center"/>
    </xf>
    <xf numFmtId="0" fontId="11" fillId="7" borderId="5" xfId="0" applyFont="1" applyFill="1" applyBorder="1" applyAlignment="1">
      <alignment horizontal="center"/>
    </xf>
    <xf numFmtId="0" fontId="11" fillId="7" borderId="6" xfId="0" applyFont="1" applyFill="1" applyBorder="1" applyAlignment="1">
      <alignment horizontal="center"/>
    </xf>
    <xf numFmtId="0" fontId="11" fillId="7" borderId="7" xfId="0" applyFont="1" applyFill="1" applyBorder="1" applyAlignment="1">
      <alignment horizontal="center"/>
    </xf>
    <xf numFmtId="17" fontId="12" fillId="0" borderId="8" xfId="0" applyNumberFormat="1" applyFont="1" applyBorder="1" applyAlignment="1">
      <alignment horizontal="center" vertical="center" wrapText="1"/>
    </xf>
    <xf numFmtId="17" fontId="12" fillId="0" borderId="10" xfId="0" applyNumberFormat="1" applyFont="1" applyBorder="1" applyAlignment="1">
      <alignment horizontal="center" vertical="center" wrapText="1"/>
    </xf>
    <xf numFmtId="17" fontId="12" fillId="0" borderId="10" xfId="0" applyNumberFormat="1" applyFont="1" applyBorder="1" applyAlignment="1">
      <alignment horizontal="center" vertical="center"/>
    </xf>
    <xf numFmtId="17" fontId="12" fillId="0" borderId="16" xfId="0" applyNumberFormat="1" applyFont="1" applyBorder="1" applyAlignment="1">
      <alignment horizontal="center" vertical="center"/>
    </xf>
  </cellXfs>
  <cellStyles count="10">
    <cellStyle name="Comma" xfId="1" builtinId="3"/>
    <cellStyle name="Comma 13" xfId="8" xr:uid="{00000000-0005-0000-0000-000001000000}"/>
    <cellStyle name="Comma 14" xfId="6" xr:uid="{00000000-0005-0000-0000-000002000000}"/>
    <cellStyle name="Comma 2" xfId="2" xr:uid="{00000000-0005-0000-0000-000003000000}"/>
    <cellStyle name="Comma 2 2" xfId="4" xr:uid="{00000000-0005-0000-0000-000004000000}"/>
    <cellStyle name="Currency 13" xfId="7" xr:uid="{00000000-0005-0000-0000-000005000000}"/>
    <cellStyle name="Currency 2" xfId="5" xr:uid="{00000000-0005-0000-0000-000006000000}"/>
    <cellStyle name="Normal" xfId="0" builtinId="0"/>
    <cellStyle name="Normal 2" xfId="9" xr:uid="{C504BC9E-3DE4-4B99-BD78-54F05F7DE73A}"/>
    <cellStyle name="Percent 2" xfId="3" xr:uid="{00000000-0005-0000-0000-00000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5.xml"/><Relationship Id="rId18" Type="http://schemas.openxmlformats.org/officeDocument/2006/relationships/externalLink" Target="externalLinks/externalLink10.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externalLink" Target="externalLinks/externalLink13.xml"/><Relationship Id="rId7" Type="http://schemas.openxmlformats.org/officeDocument/2006/relationships/worksheet" Target="worksheets/sheet7.xml"/><Relationship Id="rId12" Type="http://schemas.openxmlformats.org/officeDocument/2006/relationships/externalLink" Target="externalLinks/externalLink4.xml"/><Relationship Id="rId17" Type="http://schemas.openxmlformats.org/officeDocument/2006/relationships/externalLink" Target="externalLinks/externalLink9.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externalLink" Target="externalLinks/externalLink8.xml"/><Relationship Id="rId20" Type="http://schemas.openxmlformats.org/officeDocument/2006/relationships/externalLink" Target="externalLinks/externalLink1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3.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externalLink" Target="externalLinks/externalLink7.xml"/><Relationship Id="rId23" Type="http://schemas.openxmlformats.org/officeDocument/2006/relationships/externalLink" Target="externalLinks/externalLink15.xml"/><Relationship Id="rId10" Type="http://schemas.openxmlformats.org/officeDocument/2006/relationships/externalLink" Target="externalLinks/externalLink2.xml"/><Relationship Id="rId19" Type="http://schemas.openxmlformats.org/officeDocument/2006/relationships/externalLink" Target="externalLinks/externalLink11.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externalLink" Target="externalLinks/externalLink6.xml"/><Relationship Id="rId22" Type="http://schemas.openxmlformats.org/officeDocument/2006/relationships/externalLink" Target="externalLinks/externalLink14.xml"/><Relationship Id="rId27"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8BD21D10-EC42-11CE-9E0D-00AA006002F3}" ax:persistence="persistStreamInit" r:id="rId1"/>
</file>

<file path=xl/activeX/activeX2.xml><?xml version="1.0" encoding="utf-8"?>
<ax:ocx xmlns:ax="http://schemas.microsoft.com/office/2006/activeX" xmlns:r="http://schemas.openxmlformats.org/officeDocument/2006/relationships" ax:classid="{8BD21D10-EC42-11CE-9E0D-00AA006002F3}" ax:persistence="persistStreamInit" r:id="rId1"/>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0</xdr:row>
          <xdr:rowOff>0</xdr:rowOff>
        </xdr:from>
        <xdr:to>
          <xdr:col>5</xdr:col>
          <xdr:colOff>152400</xdr:colOff>
          <xdr:row>1</xdr:row>
          <xdr:rowOff>19050</xdr:rowOff>
        </xdr:to>
        <xdr:sp macro="" textlink="">
          <xdr:nvSpPr>
            <xdr:cNvPr id="17409" name="FILTER" hidden="1">
              <a:extLst>
                <a:ext uri="{63B3BB69-23CF-44E3-9099-C40C66FF867C}">
                  <a14:compatExt spid="_x0000_s17409"/>
                </a:ext>
                <a:ext uri="{FF2B5EF4-FFF2-40B4-BE49-F238E27FC236}">
                  <a16:creationId xmlns:a16="http://schemas.microsoft.com/office/drawing/2014/main" id="{00000000-0008-0000-0100-0000014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0</xdr:row>
          <xdr:rowOff>0</xdr:rowOff>
        </xdr:from>
        <xdr:to>
          <xdr:col>5</xdr:col>
          <xdr:colOff>152400</xdr:colOff>
          <xdr:row>1</xdr:row>
          <xdr:rowOff>19050</xdr:rowOff>
        </xdr:to>
        <xdr:sp macro="" textlink="">
          <xdr:nvSpPr>
            <xdr:cNvPr id="17410" name="HEADER" hidden="1">
              <a:extLst>
                <a:ext uri="{63B3BB69-23CF-44E3-9099-C40C66FF867C}">
                  <a14:compatExt spid="_x0000_s17410"/>
                </a:ext>
                <a:ext uri="{FF2B5EF4-FFF2-40B4-BE49-F238E27FC236}">
                  <a16:creationId xmlns:a16="http://schemas.microsoft.com/office/drawing/2014/main" id="{00000000-0008-0000-0100-0000024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X:\Tax\Client\Marks%20and%20Spencer%20Plc%20(RO)\Monthly%20Compliance\MTR\WIP\2013\1213\PROJSEM\newpf.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X:\Tax\Client\Marks%20and%20Spencer%20Plc%20(RO)\Monthly%20Compliance\MTR\WIP\2013\1213\Clients\Angkor%20Beverage%20Company%20(ABC)\ToP\ToP%2004\ABC%20-%20ToP%20Form.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X:\Tax\Client\Marks%20and%20Spencer%20Plc%20(RO)\Monthly%20Compliance\MTR\WIP\2013\1213\Clients\Expeditors\ToP\2005\From%20client\2005%20BS%20&amp;%20I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X:\Documents%20and%20Settings\HUSL\My%20Documents\BSGREP\2003\0312\4174\74fin1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X:\Tax\Client\Cambodian%20Gateway%20Underwear%20(CGU)\Accounting\2012\cash%20flow%20JANUARY.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X:\Tax\Client\Cambodian%20Gateway%20Underwear%20(CGU)\MTR\2012\12-Dec\Clients'%20information\Expenses%20December.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X:\Client-Tax\3.Tax%20Center\Tax%20Form%20-%20Proforma\Monthly%20Tax\Clients\ANZ%20Royal\Monthly%20Tax\PToP%20-%20WHT\2008\Clients\Silk%20Air\Monthly%20tax\Tax%20on%20Salary\2004\Nov%2004\Nov04%20purchase%20and%20sales%20report.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X:\Client-Tax\3.Tax%20Center\Tax%20Form%20-%20Proforma\Monthly%20Tax\Clients\ANZ%20Royal\Monthly%20Tax\PToP%20-%20WHT\2008\Clients\Silk%20Air\Monthly%20tax\VAT%20and%20Specific%20Tax\Sales%20&amp;%20Purchase%20records\2004\Jul%20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X:\Documents%20and%20Settings\lpauline.VN\Local%20Settings\Temp\KPMG05-Info%20require%20for%20preparing%20Sal%20tax-S1412-LPL.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X:\Client-Tax\3.Tax%20Center\Tax%20Form%20-%20Proforma\Monthly%20Tax\PAYROLL\2003AugustSalary.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X:\Clients%20Tax%20No.%201\Freight%20Services\2005\ToP%2004\Client's%20information\PRE1-TOP-REF.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X:\VDB%20LOI%20DATA%20NIKA\VDB-LOI\CGWU\CGWU%20accounting\Accounting\cash%20flow%202012.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Khpnhfsr01\Clients\Documents%20and%20Settings\thchhay\My%20Documents\Chhay\Client%20audit\Company\MEC\2004\THC\WIP%2030.9.03.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X:\CambodianAccounting\Payrolls%20&amp;%20Bunuses\Payrolls\SALARY%202009\Salary_Sep%20%202009.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X:\CambodianAccounting\Payrolls%20&amp;%20Bunuses\Payrolls\SALARY%202009\Salary_Oct%20(2)%20%20200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eps"/>
      <sheetName val="Flowchart"/>
      <sheetName val="Menu"/>
      <sheetName val="Summary"/>
      <sheetName val="Inputs"/>
      <sheetName val="Whatif"/>
      <sheetName val="Capex"/>
      <sheetName val="Operating"/>
      <sheetName val="Loan"/>
      <sheetName val="P&amp;L+Tax"/>
      <sheetName val="Cashflow"/>
      <sheetName val="Balance"/>
      <sheetName val="Sheet1"/>
      <sheetName val="Module1"/>
      <sheetName val="Module2"/>
      <sheetName val="newp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Name val="Capital allocation"/>
      <sheetName val="Balance Sheet"/>
      <sheetName val="Liabilities &amp; O.E"/>
      <sheetName val="P&amp;L - Income"/>
      <sheetName val="P&amp;L - Expense"/>
      <sheetName val="Fixed Asset"/>
      <sheetName val="Depreciation Table"/>
      <sheetName val="Depreciation - Class 1"/>
      <sheetName val="Depreciation - Class 2"/>
      <sheetName val="Depreciation - Class 3"/>
      <sheetName val="Depreciation - Class 4"/>
      <sheetName val="Disposal of assets"/>
      <sheetName val="Provision"/>
      <sheetName val="Tax assestment"/>
      <sheetName val="Undeductible provision"/>
      <sheetName val="Personnel"/>
      <sheetName val="ToP calculation"/>
      <sheetName val="LCF and Interest"/>
      <sheetName val="Movement of Provision"/>
      <sheetName val="ToP claculation (TD)"/>
      <sheetName val="P&amp;L(ToP)"/>
      <sheetName val="BS (ToP)"/>
      <sheetName val="Tax Depreciation"/>
      <sheetName val="ToP calculation (T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V"/>
      <sheetName val="Detailed BS"/>
      <sheetName val="P&amp;L 2005"/>
    </sheetNames>
    <sheetDataSet>
      <sheetData sheetId="0" refreshError="1"/>
      <sheetData sheetId="1" refreshError="1"/>
      <sheetData sheetId="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art"/>
      <sheetName val="Summary"/>
      <sheetName val="OEAT"/>
      <sheetName val="Sum_Det"/>
      <sheetName val="Marketing"/>
      <sheetName val="Lubricants"/>
      <sheetName val="RefSply"/>
      <sheetName val="FAMM"/>
      <sheetName val="NBDJVs"/>
      <sheetName val="AMEAHQSrv"/>
      <sheetName val="CorpFunc"/>
      <sheetName val="Interco_Input"/>
      <sheetName val="Definitions"/>
      <sheetName val="BUInfo"/>
      <sheetName val="ENTLIST"/>
      <sheetName val="IntercoAccounts"/>
      <sheetName val="CT900Exp"/>
      <sheetName val="FinExp"/>
      <sheetName val="OEATExport"/>
      <sheetName val="ReferenceSheet"/>
      <sheetName val="Journal Vouchers"/>
      <sheetName val="POV"/>
      <sheetName val="INDPRIC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row r="2">
          <cell r="A2" t="str">
            <v>1</v>
          </cell>
          <cell r="B2" t="str">
            <v>Marketing</v>
          </cell>
          <cell r="C2" t="str">
            <v>MBUElim</v>
          </cell>
        </row>
        <row r="3">
          <cell r="A3" t="str">
            <v>2</v>
          </cell>
          <cell r="B3" t="str">
            <v>Lubricants</v>
          </cell>
          <cell r="C3" t="str">
            <v>LBUElim</v>
          </cell>
          <cell r="E3" t="str">
            <v>101</v>
          </cell>
          <cell r="F3" t="str">
            <v>Retail Ops</v>
          </cell>
          <cell r="G3" t="str">
            <v>Retail</v>
          </cell>
          <cell r="H3" t="str">
            <v>Retail Ops</v>
          </cell>
          <cell r="I3" t="str">
            <v>Marketing</v>
          </cell>
          <cell r="J3" t="str">
            <v>BU</v>
          </cell>
        </row>
        <row r="4">
          <cell r="A4" t="str">
            <v>5</v>
          </cell>
          <cell r="B4" t="str">
            <v>Ref/Supply</v>
          </cell>
          <cell r="C4" t="str">
            <v>MSTElim</v>
          </cell>
          <cell r="E4" t="str">
            <v>102</v>
          </cell>
          <cell r="F4" t="str">
            <v>Retail Dvlp</v>
          </cell>
          <cell r="G4" t="str">
            <v>NonFuels</v>
          </cell>
          <cell r="H4" t="str">
            <v>Retail Dvlp</v>
          </cell>
          <cell r="I4" t="str">
            <v>Marketing</v>
          </cell>
          <cell r="J4" t="str">
            <v>BU</v>
          </cell>
        </row>
        <row r="5">
          <cell r="A5" t="str">
            <v>6</v>
          </cell>
          <cell r="B5" t="str">
            <v>AMEA HQ Services</v>
          </cell>
          <cell r="C5" t="str">
            <v>BSGElim</v>
          </cell>
          <cell r="E5" t="str">
            <v>117</v>
          </cell>
          <cell r="F5" t="str">
            <v>Brand Whole</v>
          </cell>
          <cell r="G5" t="str">
            <v>BrandWhole</v>
          </cell>
          <cell r="H5" t="str">
            <v>Brand Whole</v>
          </cell>
          <cell r="I5" t="str">
            <v>Marketing</v>
          </cell>
          <cell r="J5" t="str">
            <v>BU</v>
          </cell>
        </row>
        <row r="6">
          <cell r="A6" t="str">
            <v>7</v>
          </cell>
          <cell r="B6" t="str">
            <v>NBDJVs</v>
          </cell>
          <cell r="C6" t="str">
            <v>NBDElim</v>
          </cell>
          <cell r="E6" t="str">
            <v>107</v>
          </cell>
          <cell r="F6" t="str">
            <v>LPGas Marketing</v>
          </cell>
          <cell r="G6" t="str">
            <v>LPG</v>
          </cell>
          <cell r="H6" t="str">
            <v>LPGas Marketing</v>
          </cell>
          <cell r="I6" t="str">
            <v>Marketing</v>
          </cell>
          <cell r="J6" t="str">
            <v>BU</v>
          </cell>
        </row>
        <row r="7">
          <cell r="A7" t="str">
            <v>8</v>
          </cell>
          <cell r="B7" t="str">
            <v>Corporate Functions</v>
          </cell>
          <cell r="C7" t="str">
            <v>CoreElim</v>
          </cell>
          <cell r="E7" t="str">
            <v>103</v>
          </cell>
          <cell r="F7" t="str">
            <v>Commerc. Fuels</v>
          </cell>
          <cell r="G7" t="str">
            <v>Commercial</v>
          </cell>
          <cell r="H7" t="str">
            <v>Commerc. Fuels</v>
          </cell>
          <cell r="I7" t="str">
            <v>Marketing</v>
          </cell>
          <cell r="J7" t="str">
            <v>BU</v>
          </cell>
        </row>
        <row r="8">
          <cell r="A8" t="str">
            <v>9</v>
          </cell>
          <cell r="B8" t="str">
            <v>Others</v>
          </cell>
          <cell r="C8" t="str">
            <v>LegalElim</v>
          </cell>
          <cell r="E8" t="str">
            <v>109</v>
          </cell>
          <cell r="F8" t="str">
            <v>Marine</v>
          </cell>
          <cell r="G8" t="str">
            <v>Marine</v>
          </cell>
          <cell r="H8" t="str">
            <v>Marine</v>
          </cell>
          <cell r="I8" t="str">
            <v>Marketing</v>
          </cell>
          <cell r="J8" t="str">
            <v>BU</v>
          </cell>
        </row>
        <row r="9">
          <cell r="A9" t="str">
            <v>0</v>
          </cell>
          <cell r="B9" t="str">
            <v>Reserved</v>
          </cell>
          <cell r="C9">
            <v>0</v>
          </cell>
          <cell r="E9" t="str">
            <v>108</v>
          </cell>
          <cell r="F9" t="str">
            <v>Asphalt - Specialty</v>
          </cell>
          <cell r="G9" t="str">
            <v>Asphalt</v>
          </cell>
          <cell r="H9" t="str">
            <v>Asphalt - Specialty</v>
          </cell>
          <cell r="I9" t="str">
            <v>Marketing</v>
          </cell>
          <cell r="J9" t="str">
            <v>BU</v>
          </cell>
        </row>
        <row r="10">
          <cell r="E10" t="str">
            <v>104</v>
          </cell>
          <cell r="F10" t="str">
            <v>Brand</v>
          </cell>
          <cell r="G10" t="str">
            <v>MBUBrand</v>
          </cell>
          <cell r="H10" t="str">
            <v>Brand</v>
          </cell>
          <cell r="I10" t="str">
            <v>Marketing</v>
          </cell>
          <cell r="J10" t="str">
            <v>BU</v>
          </cell>
        </row>
        <row r="11">
          <cell r="E11" t="str">
            <v>116</v>
          </cell>
          <cell r="F11" t="str">
            <v>Aviation</v>
          </cell>
          <cell r="G11" t="str">
            <v>Aviation</v>
          </cell>
          <cell r="H11" t="str">
            <v>Aviation</v>
          </cell>
          <cell r="I11" t="str">
            <v>Sum_Det</v>
          </cell>
          <cell r="J11" t="str">
            <v>BU</v>
          </cell>
        </row>
        <row r="12">
          <cell r="E12" t="str">
            <v>105</v>
          </cell>
          <cell r="F12" t="str">
            <v>Dist.</v>
          </cell>
          <cell r="G12" t="str">
            <v>MBUDistribution</v>
          </cell>
          <cell r="H12" t="str">
            <v>Dist.</v>
          </cell>
          <cell r="I12" t="str">
            <v>Marketing</v>
          </cell>
          <cell r="J12" t="str">
            <v>BU</v>
          </cell>
        </row>
        <row r="13">
          <cell r="E13" t="str">
            <v>106</v>
          </cell>
          <cell r="F13" t="str">
            <v>Ass Mgt &amp; Site Dvlp</v>
          </cell>
          <cell r="G13" t="str">
            <v>AssetMgmt</v>
          </cell>
          <cell r="H13" t="str">
            <v>Ass Mgt &amp; Site Dvlp</v>
          </cell>
          <cell r="I13" t="str">
            <v>Marketing</v>
          </cell>
          <cell r="J13" t="str">
            <v>BU</v>
          </cell>
        </row>
        <row r="14">
          <cell r="E14" t="str">
            <v>110</v>
          </cell>
          <cell r="F14" t="str">
            <v>Retail Auto.</v>
          </cell>
          <cell r="G14" t="str">
            <v>RetailAuto</v>
          </cell>
          <cell r="H14" t="str">
            <v>Retail Auto.</v>
          </cell>
          <cell r="I14" t="str">
            <v>Marketing</v>
          </cell>
          <cell r="J14" t="str">
            <v>BU</v>
          </cell>
        </row>
        <row r="15">
          <cell r="E15" t="str">
            <v>111</v>
          </cell>
          <cell r="F15" t="str">
            <v>Card Mkting</v>
          </cell>
          <cell r="G15" t="str">
            <v>CardMkt</v>
          </cell>
          <cell r="H15" t="str">
            <v>Card Mkting</v>
          </cell>
          <cell r="I15" t="str">
            <v>Marketing</v>
          </cell>
          <cell r="J15" t="str">
            <v>BU</v>
          </cell>
        </row>
        <row r="16">
          <cell r="E16" t="str">
            <v>112</v>
          </cell>
          <cell r="F16" t="str">
            <v>Pric,Plan,Fin</v>
          </cell>
          <cell r="G16" t="str">
            <v>Pricing</v>
          </cell>
          <cell r="H16" t="str">
            <v>Pric,Plan,Fin</v>
          </cell>
          <cell r="I16" t="str">
            <v>Marketing</v>
          </cell>
          <cell r="J16" t="str">
            <v>BU</v>
          </cell>
        </row>
        <row r="17">
          <cell r="E17" t="str">
            <v>114</v>
          </cell>
          <cell r="F17" t="str">
            <v>Cust. Srv</v>
          </cell>
          <cell r="G17" t="str">
            <v>CustSrv</v>
          </cell>
          <cell r="H17" t="str">
            <v>Cust. Srv</v>
          </cell>
          <cell r="I17" t="str">
            <v>Marketing</v>
          </cell>
          <cell r="J17" t="str">
            <v>BU</v>
          </cell>
        </row>
        <row r="18">
          <cell r="E18" t="str">
            <v>115</v>
          </cell>
          <cell r="F18" t="str">
            <v>Product Eng</v>
          </cell>
          <cell r="G18" t="str">
            <v>ProdEng</v>
          </cell>
          <cell r="H18" t="str">
            <v>Product Eng</v>
          </cell>
          <cell r="I18" t="str">
            <v>Marketing</v>
          </cell>
          <cell r="J18" t="str">
            <v>BU</v>
          </cell>
        </row>
        <row r="19">
          <cell r="E19" t="str">
            <v>119</v>
          </cell>
          <cell r="F19" t="str">
            <v>Mkt Admin</v>
          </cell>
          <cell r="G19" t="str">
            <v>MBUAdmin</v>
          </cell>
          <cell r="H19" t="str">
            <v>Mkt Admin</v>
          </cell>
          <cell r="I19" t="str">
            <v>Marketing</v>
          </cell>
          <cell r="J19" t="str">
            <v>BU</v>
          </cell>
        </row>
        <row r="20">
          <cell r="E20" t="str">
            <v>221</v>
          </cell>
          <cell r="F20" t="str">
            <v>Mfg &amp; Sply</v>
          </cell>
          <cell r="G20" t="str">
            <v>LBUMnfutring</v>
          </cell>
          <cell r="H20" t="str">
            <v>Mfg &amp; Sply</v>
          </cell>
          <cell r="I20" t="str">
            <v>Lubricants</v>
          </cell>
          <cell r="J20" t="str">
            <v>BU</v>
          </cell>
        </row>
        <row r="21">
          <cell r="E21" t="str">
            <v>222</v>
          </cell>
          <cell r="F21" t="str">
            <v>Dist.</v>
          </cell>
          <cell r="G21" t="str">
            <v>LBUDistribution</v>
          </cell>
          <cell r="H21" t="str">
            <v>Dist.</v>
          </cell>
          <cell r="I21" t="str">
            <v>Lubricants</v>
          </cell>
          <cell r="J21" t="str">
            <v>BU</v>
          </cell>
        </row>
        <row r="22">
          <cell r="E22" t="str">
            <v>224</v>
          </cell>
          <cell r="F22" t="str">
            <v>Sales &amp; Mkting</v>
          </cell>
          <cell r="G22" t="str">
            <v>LBUSalesMkting</v>
          </cell>
          <cell r="H22" t="str">
            <v>Sales &amp; Mkting</v>
          </cell>
          <cell r="I22" t="str">
            <v>Lubricants</v>
          </cell>
          <cell r="J22" t="str">
            <v>BU</v>
          </cell>
        </row>
        <row r="23">
          <cell r="E23" t="str">
            <v>225</v>
          </cell>
          <cell r="F23" t="str">
            <v>Tech</v>
          </cell>
          <cell r="G23" t="str">
            <v>LBUTechnology</v>
          </cell>
          <cell r="H23" t="str">
            <v>Tech</v>
          </cell>
          <cell r="I23" t="str">
            <v>Lubricants</v>
          </cell>
          <cell r="J23" t="str">
            <v>BU</v>
          </cell>
        </row>
        <row r="24">
          <cell r="E24" t="str">
            <v>226</v>
          </cell>
          <cell r="F24" t="str">
            <v>Export</v>
          </cell>
          <cell r="G24" t="str">
            <v>LBUExport</v>
          </cell>
          <cell r="H24" t="str">
            <v>Export</v>
          </cell>
          <cell r="I24" t="str">
            <v>Lubricants</v>
          </cell>
          <cell r="J24" t="str">
            <v>BU</v>
          </cell>
        </row>
        <row r="25">
          <cell r="E25" t="str">
            <v>227</v>
          </cell>
          <cell r="F25" t="str">
            <v>Oper Exc</v>
          </cell>
          <cell r="G25" t="str">
            <v>LBUTrain</v>
          </cell>
          <cell r="H25" t="str">
            <v>Oper Exc</v>
          </cell>
          <cell r="I25" t="str">
            <v>Lubricants</v>
          </cell>
          <cell r="J25" t="str">
            <v>BU</v>
          </cell>
        </row>
        <row r="26">
          <cell r="E26" t="str">
            <v>228</v>
          </cell>
          <cell r="F26" t="str">
            <v>Bus. Sprt &amp; Planning</v>
          </cell>
          <cell r="G26" t="str">
            <v>LBUPlanning</v>
          </cell>
          <cell r="H26" t="str">
            <v>Bus. Sprt &amp; Planning</v>
          </cell>
          <cell r="I26" t="str">
            <v>Lubricants</v>
          </cell>
          <cell r="J26" t="str">
            <v>BU</v>
          </cell>
        </row>
        <row r="27">
          <cell r="E27" t="str">
            <v>229</v>
          </cell>
          <cell r="F27" t="str">
            <v>Toll Blend</v>
          </cell>
          <cell r="G27" t="str">
            <v>LBUBlend</v>
          </cell>
          <cell r="H27" t="str">
            <v>Toll Blend</v>
          </cell>
          <cell r="I27" t="str">
            <v>Lubricants</v>
          </cell>
          <cell r="J27" t="str">
            <v>BU</v>
          </cell>
        </row>
        <row r="28">
          <cell r="E28" t="str">
            <v>230</v>
          </cell>
          <cell r="F28" t="str">
            <v>Base Oil Supply</v>
          </cell>
          <cell r="G28" t="str">
            <v>LBUBase</v>
          </cell>
          <cell r="H28" t="str">
            <v>Base Oil Supply</v>
          </cell>
          <cell r="I28" t="str">
            <v>Lubricants</v>
          </cell>
          <cell r="J28" t="str">
            <v>BU</v>
          </cell>
        </row>
        <row r="29">
          <cell r="E29" t="str">
            <v>231</v>
          </cell>
          <cell r="F29" t="str">
            <v>LBU Brand &amp; Mkting</v>
          </cell>
          <cell r="G29" t="str">
            <v>LBUPlanBr</v>
          </cell>
          <cell r="H29" t="str">
            <v>LBU Brand &amp; Mkting</v>
          </cell>
          <cell r="I29" t="str">
            <v>Lubricants</v>
          </cell>
          <cell r="J29" t="str">
            <v>BU</v>
          </cell>
        </row>
        <row r="30">
          <cell r="E30" t="str">
            <v>232</v>
          </cell>
          <cell r="F30" t="str">
            <v>Global Acc &amp; OEM</v>
          </cell>
          <cell r="G30" t="str">
            <v>LBUOEM</v>
          </cell>
          <cell r="H30" t="str">
            <v>Global Acc &amp; OEM</v>
          </cell>
          <cell r="I30" t="str">
            <v>Lubricants</v>
          </cell>
          <cell r="J30" t="str">
            <v>BU</v>
          </cell>
        </row>
        <row r="31">
          <cell r="E31" t="str">
            <v>233</v>
          </cell>
          <cell r="F31" t="str">
            <v>Supply Chain Mgmt</v>
          </cell>
          <cell r="G31" t="str">
            <v>LBUSupply</v>
          </cell>
          <cell r="H31" t="str">
            <v>Supply Chain Mgmt</v>
          </cell>
          <cell r="I31" t="str">
            <v>Lubricants</v>
          </cell>
          <cell r="J31" t="str">
            <v>BU</v>
          </cell>
        </row>
        <row r="32">
          <cell r="E32" t="str">
            <v>234</v>
          </cell>
          <cell r="F32" t="str">
            <v>E-Business</v>
          </cell>
          <cell r="G32" t="str">
            <v>LBUEBus</v>
          </cell>
          <cell r="H32" t="str">
            <v>E-Business</v>
          </cell>
          <cell r="I32" t="str">
            <v>Lubricants</v>
          </cell>
          <cell r="J32" t="str">
            <v>BU</v>
          </cell>
        </row>
        <row r="33">
          <cell r="E33" t="str">
            <v>235</v>
          </cell>
          <cell r="F33" t="str">
            <v>Int. Sol. &amp; Bus. Dev.</v>
          </cell>
          <cell r="G33" t="str">
            <v>LBUSolution</v>
          </cell>
          <cell r="H33" t="str">
            <v>Int. Sol. &amp; Bus. Dev.</v>
          </cell>
          <cell r="I33" t="str">
            <v>Lubricants</v>
          </cell>
          <cell r="J33" t="str">
            <v>BU</v>
          </cell>
        </row>
        <row r="34">
          <cell r="E34" t="str">
            <v>239</v>
          </cell>
          <cell r="F34" t="str">
            <v>LBU Admin</v>
          </cell>
          <cell r="G34" t="str">
            <v>LBUAdmin</v>
          </cell>
          <cell r="H34" t="str">
            <v>LBU Admin</v>
          </cell>
          <cell r="I34" t="str">
            <v>Lubricants</v>
          </cell>
          <cell r="J34" t="str">
            <v>BU</v>
          </cell>
        </row>
        <row r="35">
          <cell r="E35" t="str">
            <v>500</v>
          </cell>
          <cell r="F35" t="str">
            <v>Refining</v>
          </cell>
          <cell r="G35" t="str">
            <v>Manufacturing</v>
          </cell>
          <cell r="H35" t="str">
            <v>Refining</v>
          </cell>
          <cell r="I35" t="str">
            <v>RefSply</v>
          </cell>
          <cell r="J35" t="str">
            <v>BU</v>
          </cell>
        </row>
        <row r="36">
          <cell r="E36" t="str">
            <v>350</v>
          </cell>
          <cell r="F36" t="str">
            <v>Supply</v>
          </cell>
          <cell r="G36" t="str">
            <v>Supply</v>
          </cell>
          <cell r="H36" t="str">
            <v>Supply</v>
          </cell>
          <cell r="I36" t="str">
            <v>RefSply</v>
          </cell>
          <cell r="J36" t="str">
            <v>BU</v>
          </cell>
        </row>
        <row r="37">
          <cell r="E37" t="str">
            <v>300</v>
          </cell>
          <cell r="F37" t="str">
            <v>Trading</v>
          </cell>
          <cell r="G37" t="str">
            <v>Trading</v>
          </cell>
          <cell r="H37" t="str">
            <v>Trading</v>
          </cell>
          <cell r="I37" t="str">
            <v>Sum_Det</v>
          </cell>
          <cell r="J37" t="str">
            <v>BU</v>
          </cell>
        </row>
        <row r="38">
          <cell r="E38" t="str">
            <v>301</v>
          </cell>
          <cell r="F38" t="str">
            <v>FAMM- Black Oil</v>
          </cell>
          <cell r="G38" t="str">
            <v>FAMMFuels</v>
          </cell>
          <cell r="H38" t="str">
            <v>FAMM- Black Oil</v>
          </cell>
          <cell r="I38" t="str">
            <v>FAMM</v>
          </cell>
          <cell r="J38" t="str">
            <v>BU</v>
          </cell>
        </row>
        <row r="39">
          <cell r="E39" t="str">
            <v>302</v>
          </cell>
          <cell r="F39" t="str">
            <v>FAMM- Lubricants</v>
          </cell>
          <cell r="G39" t="str">
            <v>FAMMLubes</v>
          </cell>
          <cell r="H39" t="str">
            <v>FAMM- Lubricants</v>
          </cell>
          <cell r="I39" t="str">
            <v>FAMM</v>
          </cell>
          <cell r="J39" t="str">
            <v>BU</v>
          </cell>
        </row>
        <row r="40">
          <cell r="E40" t="str">
            <v>304</v>
          </cell>
          <cell r="F40" t="str">
            <v>FAMM- Terminalling</v>
          </cell>
          <cell r="G40" t="str">
            <v>FAMMTerm</v>
          </cell>
          <cell r="H40" t="str">
            <v>FAMM- Terminalling</v>
          </cell>
          <cell r="I40" t="str">
            <v>FAMM</v>
          </cell>
          <cell r="J40" t="str">
            <v>BU</v>
          </cell>
        </row>
        <row r="41">
          <cell r="E41" t="str">
            <v>307</v>
          </cell>
          <cell r="F41" t="str">
            <v>FAMM- Distribution</v>
          </cell>
          <cell r="G41" t="str">
            <v>FAMMDist</v>
          </cell>
          <cell r="H41" t="str">
            <v>FAMM- Distribution</v>
          </cell>
          <cell r="I41" t="str">
            <v>FAMM</v>
          </cell>
          <cell r="J41" t="str">
            <v>BU</v>
          </cell>
        </row>
        <row r="42">
          <cell r="E42" t="str">
            <v>308</v>
          </cell>
          <cell r="F42" t="str">
            <v>FAMM- Business Services</v>
          </cell>
          <cell r="G42" t="str">
            <v>FAMMSprt</v>
          </cell>
          <cell r="H42" t="str">
            <v>FAMM- Business Services</v>
          </cell>
          <cell r="I42" t="str">
            <v>FAMM</v>
          </cell>
          <cell r="J42" t="str">
            <v>BU</v>
          </cell>
        </row>
        <row r="43">
          <cell r="E43" t="str">
            <v>309</v>
          </cell>
          <cell r="F43" t="str">
            <v>FAMM- OEH</v>
          </cell>
          <cell r="G43" t="str">
            <v>FAMMOEH</v>
          </cell>
          <cell r="H43" t="str">
            <v>FAMM- OEH</v>
          </cell>
          <cell r="I43" t="str">
            <v>FAMM</v>
          </cell>
          <cell r="J43" t="str">
            <v>BU</v>
          </cell>
        </row>
        <row r="44">
          <cell r="E44" t="str">
            <v>310</v>
          </cell>
          <cell r="F44" t="str">
            <v>FAMM- Feedstock</v>
          </cell>
          <cell r="G44" t="str">
            <v>FAMMFdStk</v>
          </cell>
          <cell r="H44" t="str">
            <v>FAMM- Feedstock</v>
          </cell>
          <cell r="I44" t="str">
            <v>FAMM</v>
          </cell>
          <cell r="J44" t="str">
            <v>BU</v>
          </cell>
        </row>
        <row r="45">
          <cell r="E45" t="str">
            <v>311</v>
          </cell>
          <cell r="F45" t="str">
            <v>FAMM- China (CSL)</v>
          </cell>
          <cell r="G45" t="str">
            <v>FAMMChn</v>
          </cell>
          <cell r="H45" t="str">
            <v>FAMM- China (CSL)</v>
          </cell>
          <cell r="I45" t="str">
            <v>FAMM</v>
          </cell>
          <cell r="J45" t="str">
            <v>BU</v>
          </cell>
        </row>
        <row r="46">
          <cell r="E46" t="str">
            <v>312</v>
          </cell>
          <cell r="F46" t="str">
            <v>FAMM- Operational Support</v>
          </cell>
          <cell r="G46" t="str">
            <v>FAMMOpSp</v>
          </cell>
          <cell r="H46" t="str">
            <v>FAMM- Operational Support</v>
          </cell>
          <cell r="I46" t="str">
            <v>FAMM</v>
          </cell>
          <cell r="J46" t="str">
            <v>BU</v>
          </cell>
        </row>
        <row r="47">
          <cell r="E47" t="str">
            <v>303</v>
          </cell>
          <cell r="F47" t="str">
            <v>Shipping</v>
          </cell>
          <cell r="G47" t="str">
            <v>Shipping</v>
          </cell>
          <cell r="H47" t="str">
            <v>Shipping</v>
          </cell>
          <cell r="I47" t="str">
            <v>Sum_Det</v>
          </cell>
          <cell r="J47" t="str">
            <v>BU</v>
          </cell>
        </row>
        <row r="48">
          <cell r="E48" t="str">
            <v>750</v>
          </cell>
          <cell r="F48" t="str">
            <v>JV</v>
          </cell>
          <cell r="G48" t="str">
            <v>NBDJV</v>
          </cell>
          <cell r="H48" t="str">
            <v>JV</v>
          </cell>
          <cell r="I48" t="str">
            <v>NBDJVs</v>
          </cell>
          <cell r="J48" t="str">
            <v>BU</v>
          </cell>
        </row>
        <row r="49">
          <cell r="E49" t="str">
            <v>745</v>
          </cell>
          <cell r="F49" t="str">
            <v>Strat Growth &amp; Init</v>
          </cell>
          <cell r="G49" t="str">
            <v>NBDStratGrwth</v>
          </cell>
          <cell r="H49" t="str">
            <v>Strat Growth &amp; Init</v>
          </cell>
          <cell r="I49" t="str">
            <v>NBDJVs</v>
          </cell>
          <cell r="J49" t="str">
            <v>BU</v>
          </cell>
        </row>
        <row r="50">
          <cell r="E50" t="str">
            <v>749</v>
          </cell>
          <cell r="F50" t="str">
            <v>NBD - Cntry NBD</v>
          </cell>
          <cell r="G50" t="str">
            <v>NBDCntry</v>
          </cell>
          <cell r="H50" t="str">
            <v>NBD - Cntry NBD</v>
          </cell>
          <cell r="I50" t="str">
            <v>NBDJVs</v>
          </cell>
          <cell r="J50" t="str">
            <v>BU</v>
          </cell>
        </row>
        <row r="51">
          <cell r="E51" t="str">
            <v>999</v>
          </cell>
          <cell r="F51" t="str">
            <v>HQ Others</v>
          </cell>
          <cell r="G51" t="str">
            <v>Others</v>
          </cell>
          <cell r="H51" t="str">
            <v>HQ Others</v>
          </cell>
          <cell r="I51" t="str">
            <v>Sum_Det</v>
          </cell>
          <cell r="J51" t="str">
            <v>BU</v>
          </cell>
        </row>
        <row r="52">
          <cell r="E52" t="str">
            <v>601</v>
          </cell>
          <cell r="F52" t="str">
            <v>Finance</v>
          </cell>
          <cell r="G52" t="str">
            <v>Fiscal</v>
          </cell>
          <cell r="H52" t="str">
            <v>Finance</v>
          </cell>
          <cell r="I52" t="str">
            <v>AMEAHQSrv</v>
          </cell>
          <cell r="J52" t="str">
            <v>HQSrv</v>
          </cell>
        </row>
        <row r="53">
          <cell r="E53" t="str">
            <v>602</v>
          </cell>
          <cell r="F53" t="str">
            <v>DSR</v>
          </cell>
          <cell r="G53" t="str">
            <v>DSR</v>
          </cell>
          <cell r="H53" t="str">
            <v>DSR</v>
          </cell>
          <cell r="I53" t="str">
            <v>AMEAHQSrv</v>
          </cell>
          <cell r="J53" t="str">
            <v>HQSrv</v>
          </cell>
        </row>
        <row r="54">
          <cell r="E54" t="str">
            <v>603</v>
          </cell>
          <cell r="F54" t="str">
            <v>IT Mgmt</v>
          </cell>
          <cell r="G54" t="str">
            <v>ITMgmt</v>
          </cell>
          <cell r="H54" t="str">
            <v>IT Mgmt</v>
          </cell>
          <cell r="I54" t="str">
            <v>AMEAHQSrv</v>
          </cell>
          <cell r="J54" t="str">
            <v>HQSrv</v>
          </cell>
        </row>
        <row r="55">
          <cell r="E55" t="str">
            <v>605</v>
          </cell>
          <cell r="F55" t="str">
            <v>HES</v>
          </cell>
          <cell r="G55" t="str">
            <v>EHS</v>
          </cell>
          <cell r="H55" t="str">
            <v>HES</v>
          </cell>
          <cell r="I55" t="str">
            <v>AMEAHQSrv</v>
          </cell>
          <cell r="J55" t="str">
            <v>HQSrv</v>
          </cell>
        </row>
        <row r="56">
          <cell r="E56" t="str">
            <v>606</v>
          </cell>
          <cell r="F56" t="str">
            <v>HR Sprt Srv</v>
          </cell>
          <cell r="G56" t="str">
            <v>HR</v>
          </cell>
          <cell r="H56" t="str">
            <v>HR Sprt Srv</v>
          </cell>
          <cell r="I56" t="str">
            <v>AMEAHQSrv</v>
          </cell>
          <cell r="J56" t="str">
            <v>HQSrv</v>
          </cell>
        </row>
        <row r="57">
          <cell r="E57" t="str">
            <v>613</v>
          </cell>
          <cell r="F57" t="str">
            <v>HR Off Srv</v>
          </cell>
          <cell r="G57" t="str">
            <v>HROS</v>
          </cell>
          <cell r="H57" t="str">
            <v>HR Off Srv</v>
          </cell>
          <cell r="I57" t="str">
            <v>AMEAHQSrv</v>
          </cell>
          <cell r="J57" t="str">
            <v>HQSrv</v>
          </cell>
        </row>
        <row r="58">
          <cell r="E58" t="str">
            <v>607</v>
          </cell>
          <cell r="F58" t="str">
            <v>Procure.</v>
          </cell>
          <cell r="G58" t="str">
            <v>Procurement</v>
          </cell>
          <cell r="H58" t="str">
            <v>Procure.</v>
          </cell>
          <cell r="I58" t="str">
            <v>AMEAHQSrv</v>
          </cell>
          <cell r="J58" t="str">
            <v>HQSrv</v>
          </cell>
        </row>
        <row r="59">
          <cell r="E59" t="str">
            <v>608</v>
          </cell>
          <cell r="F59" t="str">
            <v>E-Procurement</v>
          </cell>
          <cell r="G59" t="str">
            <v>EProcurement</v>
          </cell>
          <cell r="H59" t="str">
            <v>E-Procurement</v>
          </cell>
          <cell r="I59" t="str">
            <v>AMEAHQSrv</v>
          </cell>
          <cell r="J59" t="str">
            <v>HQSrv</v>
          </cell>
        </row>
        <row r="60">
          <cell r="E60" t="str">
            <v>610</v>
          </cell>
          <cell r="F60" t="str">
            <v>Strategic Sourcing</v>
          </cell>
          <cell r="G60" t="str">
            <v>StratSourc</v>
          </cell>
          <cell r="H60" t="str">
            <v>Strategic Sourcing</v>
          </cell>
          <cell r="I60" t="str">
            <v>AMEAHQSrv</v>
          </cell>
          <cell r="J60" t="str">
            <v>HQSrv</v>
          </cell>
        </row>
        <row r="61">
          <cell r="E61" t="str">
            <v>609</v>
          </cell>
          <cell r="F61" t="str">
            <v>Legal Srv</v>
          </cell>
          <cell r="G61" t="str">
            <v>Legal</v>
          </cell>
          <cell r="H61" t="str">
            <v>Legal Srv</v>
          </cell>
          <cell r="I61" t="str">
            <v>AMEAHQSrv</v>
          </cell>
          <cell r="J61" t="str">
            <v>HQSrv</v>
          </cell>
        </row>
        <row r="62">
          <cell r="E62" t="str">
            <v>611</v>
          </cell>
          <cell r="F62" t="str">
            <v>IT Projects</v>
          </cell>
          <cell r="G62" t="str">
            <v>IT_Projects</v>
          </cell>
          <cell r="H62" t="str">
            <v>IT Projects</v>
          </cell>
          <cell r="I62" t="str">
            <v>AMEAHQSrv</v>
          </cell>
          <cell r="J62" t="str">
            <v>HQSrv</v>
          </cell>
        </row>
        <row r="63">
          <cell r="E63" t="str">
            <v>612</v>
          </cell>
          <cell r="F63" t="str">
            <v>IT Services</v>
          </cell>
          <cell r="G63" t="str">
            <v>ITService</v>
          </cell>
          <cell r="H63" t="str">
            <v>IT Services</v>
          </cell>
          <cell r="I63" t="str">
            <v>AMEAHQSrv</v>
          </cell>
          <cell r="J63" t="str">
            <v>HQSrv</v>
          </cell>
        </row>
        <row r="64">
          <cell r="E64" t="str">
            <v>614</v>
          </cell>
          <cell r="F64" t="str">
            <v>Cntry Chair</v>
          </cell>
          <cell r="G64" t="str">
            <v>CntryChair</v>
          </cell>
          <cell r="H64" t="str">
            <v>Cntry Chair</v>
          </cell>
          <cell r="I64" t="str">
            <v>AMEAHQSrv</v>
          </cell>
          <cell r="J64" t="str">
            <v>HQSrv</v>
          </cell>
        </row>
        <row r="65">
          <cell r="E65" t="str">
            <v>803</v>
          </cell>
          <cell r="F65" t="str">
            <v>Corp Legal</v>
          </cell>
          <cell r="G65" t="str">
            <v>CoreLegal</v>
          </cell>
          <cell r="H65" t="str">
            <v>Corp Legal</v>
          </cell>
          <cell r="I65" t="str">
            <v>AMEAHQSrv</v>
          </cell>
          <cell r="J65" t="str">
            <v>Core</v>
          </cell>
        </row>
        <row r="66">
          <cell r="E66" t="str">
            <v>801</v>
          </cell>
          <cell r="F66" t="str">
            <v>DSR-Ext Reprting</v>
          </cell>
          <cell r="G66" t="str">
            <v>CoreComp</v>
          </cell>
          <cell r="H66" t="str">
            <v>DSR-Ext Reprting</v>
          </cell>
          <cell r="I66" t="str">
            <v>AMEAHQSrv</v>
          </cell>
          <cell r="J66" t="str">
            <v>Core</v>
          </cell>
        </row>
        <row r="67">
          <cell r="E67" t="str">
            <v>802</v>
          </cell>
          <cell r="F67" t="str">
            <v>Corp HR</v>
          </cell>
          <cell r="G67" t="str">
            <v>CoreHR</v>
          </cell>
          <cell r="H67" t="str">
            <v>Corp HR</v>
          </cell>
          <cell r="I67" t="str">
            <v>AMEAHQSrv</v>
          </cell>
          <cell r="J67" t="str">
            <v>Core</v>
          </cell>
        </row>
        <row r="68">
          <cell r="E68" t="str">
            <v>805</v>
          </cell>
          <cell r="F68" t="str">
            <v>Pres &amp; Suprt</v>
          </cell>
          <cell r="G68" t="str">
            <v>CoreMgmt</v>
          </cell>
          <cell r="H68" t="str">
            <v>Pres &amp; Suprt</v>
          </cell>
          <cell r="I68" t="str">
            <v>AMEAHQSrv</v>
          </cell>
          <cell r="J68" t="str">
            <v>Core</v>
          </cell>
        </row>
        <row r="69">
          <cell r="E69" t="str">
            <v>806</v>
          </cell>
          <cell r="F69" t="str">
            <v>Core Plan &amp; Support</v>
          </cell>
          <cell r="G69" t="str">
            <v>CorePlan</v>
          </cell>
          <cell r="H69" t="str">
            <v>Core Plan &amp; Support</v>
          </cell>
          <cell r="I69" t="str">
            <v>AMEAHQSrv</v>
          </cell>
          <cell r="J69" t="str">
            <v>Core</v>
          </cell>
        </row>
        <row r="70">
          <cell r="E70" t="str">
            <v>808</v>
          </cell>
          <cell r="F70" t="str">
            <v>AMEA Comm</v>
          </cell>
          <cell r="G70" t="str">
            <v>AMEAComm</v>
          </cell>
          <cell r="H70" t="str">
            <v>AMEA Comm</v>
          </cell>
          <cell r="I70" t="str">
            <v>AMEAHQSrv</v>
          </cell>
          <cell r="J70" t="str">
            <v>Core</v>
          </cell>
        </row>
        <row r="71">
          <cell r="E71" t="str">
            <v>817</v>
          </cell>
          <cell r="F71" t="str">
            <v>E Commerce</v>
          </cell>
          <cell r="G71" t="str">
            <v>ECommerce</v>
          </cell>
          <cell r="H71" t="str">
            <v>E Commerce</v>
          </cell>
          <cell r="I71" t="str">
            <v>AMEAHQSrv</v>
          </cell>
          <cell r="J71" t="str">
            <v>Core</v>
          </cell>
        </row>
        <row r="72">
          <cell r="E72" t="str">
            <v>818</v>
          </cell>
          <cell r="F72" t="str">
            <v>Know. &amp; Comp. Mgmt</v>
          </cell>
          <cell r="G72" t="str">
            <v>KnowCompMgmt</v>
          </cell>
          <cell r="H72" t="str">
            <v>Know. &amp; Comp. Mgmt</v>
          </cell>
          <cell r="I72" t="str">
            <v>AMEAHQSrv</v>
          </cell>
          <cell r="J72" t="str">
            <v>Core</v>
          </cell>
        </row>
        <row r="73">
          <cell r="E73" t="str">
            <v>811</v>
          </cell>
          <cell r="F73" t="str">
            <v>VP Finance</v>
          </cell>
          <cell r="G73" t="str">
            <v>CoreCFOHQ</v>
          </cell>
          <cell r="H73" t="str">
            <v>VP Finance</v>
          </cell>
          <cell r="I73" t="str">
            <v>AMEAHQSrv</v>
          </cell>
          <cell r="J73" t="str">
            <v>Core</v>
          </cell>
        </row>
        <row r="74">
          <cell r="E74" t="str">
            <v>899</v>
          </cell>
          <cell r="F74" t="str">
            <v>Corp Others</v>
          </cell>
          <cell r="G74" t="str">
            <v>CoreOth</v>
          </cell>
          <cell r="H74" t="str">
            <v>Corp Others</v>
          </cell>
          <cell r="I74" t="str">
            <v>AMEAHQSrv</v>
          </cell>
          <cell r="J74" t="str">
            <v>Core</v>
          </cell>
        </row>
        <row r="75">
          <cell r="E75" t="str">
            <v>815</v>
          </cell>
          <cell r="F75" t="str">
            <v>Corp Comm</v>
          </cell>
          <cell r="G75" t="str">
            <v>CorpComm</v>
          </cell>
          <cell r="H75" t="str">
            <v>Corp Comm</v>
          </cell>
          <cell r="I75" t="str">
            <v>CorpFunc</v>
          </cell>
          <cell r="J75" t="str">
            <v>Core</v>
          </cell>
        </row>
        <row r="76">
          <cell r="E76" t="str">
            <v>816</v>
          </cell>
          <cell r="F76" t="str">
            <v>Oth US Func</v>
          </cell>
          <cell r="G76" t="str">
            <v>CoreOthUSFunc</v>
          </cell>
          <cell r="H76" t="str">
            <v>Oth US Func</v>
          </cell>
          <cell r="I76" t="str">
            <v>CorpFunc</v>
          </cell>
          <cell r="J76" t="str">
            <v>Core</v>
          </cell>
        </row>
        <row r="77">
          <cell r="E77" t="str">
            <v>813</v>
          </cell>
          <cell r="F77" t="str">
            <v>Regional HR</v>
          </cell>
          <cell r="G77" t="str">
            <v>CoreRegHR</v>
          </cell>
          <cell r="H77" t="str">
            <v>Regional HR</v>
          </cell>
          <cell r="I77" t="str">
            <v>CorpFunc</v>
          </cell>
          <cell r="J77" t="str">
            <v>Core</v>
          </cell>
        </row>
        <row r="78">
          <cell r="E78" t="str">
            <v>804</v>
          </cell>
          <cell r="F78" t="str">
            <v>Treas Opco Sprt</v>
          </cell>
          <cell r="G78" t="str">
            <v>CoreTreasury</v>
          </cell>
          <cell r="H78" t="str">
            <v>Treas Opco Sprt</v>
          </cell>
          <cell r="I78" t="str">
            <v>CorpFunc</v>
          </cell>
          <cell r="J78" t="str">
            <v>Core</v>
          </cell>
        </row>
        <row r="79">
          <cell r="E79" t="str">
            <v>807</v>
          </cell>
          <cell r="F79" t="str">
            <v>Risk Mgmt</v>
          </cell>
          <cell r="G79" t="str">
            <v>CoreRisk</v>
          </cell>
          <cell r="H79" t="str">
            <v>Risk Mgmt</v>
          </cell>
          <cell r="I79" t="str">
            <v>CorpFunc</v>
          </cell>
          <cell r="J79" t="str">
            <v>Core</v>
          </cell>
        </row>
        <row r="80">
          <cell r="E80" t="str">
            <v>809</v>
          </cell>
          <cell r="F80" t="str">
            <v>Gen Cnsl Tax</v>
          </cell>
          <cell r="G80" t="str">
            <v>CoreTax</v>
          </cell>
          <cell r="H80" t="str">
            <v>Gen Cnsl Tax</v>
          </cell>
          <cell r="I80" t="str">
            <v>CorpFunc</v>
          </cell>
          <cell r="J80" t="str">
            <v>Core</v>
          </cell>
        </row>
        <row r="81">
          <cell r="E81" t="str">
            <v>810</v>
          </cell>
          <cell r="F81" t="str">
            <v>Corp Audit</v>
          </cell>
          <cell r="G81" t="str">
            <v>CoreAudit</v>
          </cell>
          <cell r="H81" t="str">
            <v>Corp Audit</v>
          </cell>
          <cell r="I81" t="str">
            <v>CorpFunc</v>
          </cell>
          <cell r="J81" t="str">
            <v>Core</v>
          </cell>
        </row>
        <row r="82">
          <cell r="E82" t="str">
            <v>812</v>
          </cell>
          <cell r="F82" t="str">
            <v>Credit</v>
          </cell>
          <cell r="G82" t="str">
            <v>CoreCredit</v>
          </cell>
          <cell r="H82" t="str">
            <v>Credit</v>
          </cell>
          <cell r="I82" t="str">
            <v>CorpFunc</v>
          </cell>
          <cell r="J82" t="str">
            <v>Core</v>
          </cell>
        </row>
        <row r="83">
          <cell r="E83" t="str">
            <v>814</v>
          </cell>
          <cell r="F83" t="str">
            <v>Cash Mgmt</v>
          </cell>
          <cell r="G83" t="str">
            <v>CoreCash</v>
          </cell>
          <cell r="H83" t="str">
            <v>Cash Mgmt</v>
          </cell>
          <cell r="I83" t="str">
            <v>CorpFunc</v>
          </cell>
          <cell r="J83" t="str">
            <v>Core</v>
          </cell>
        </row>
        <row r="84">
          <cell r="E84" t="str">
            <v>000</v>
          </cell>
          <cell r="F84" t="str">
            <v>CT900-Supp</v>
          </cell>
          <cell r="G84" t="str">
            <v>CT900Supp</v>
          </cell>
          <cell r="H84" t="str">
            <v>CT900-Supp</v>
          </cell>
          <cell r="I84" t="str">
            <v>Sum_Det</v>
          </cell>
          <cell r="J84" t="str">
            <v>CT900</v>
          </cell>
        </row>
      </sheetData>
      <sheetData sheetId="14"/>
      <sheetData sheetId="15"/>
      <sheetData sheetId="16"/>
      <sheetData sheetId="17"/>
      <sheetData sheetId="18"/>
      <sheetData sheetId="19"/>
      <sheetData sheetId="20" refreshError="1"/>
      <sheetData sheetId="21" refreshError="1"/>
      <sheetData sheetId="2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stes"/>
      <sheetName val="cash flow january"/>
      <sheetName val="cash flow february"/>
      <sheetName val="cash flow march"/>
      <sheetName val="cash flow april"/>
      <sheetName val="cash flow may"/>
    </sheetNames>
    <sheetDataSet>
      <sheetData sheetId="0" refreshError="1">
        <row r="8">
          <cell r="A8" t="str">
            <v>Administration</v>
          </cell>
        </row>
        <row r="9">
          <cell r="A9" t="str">
            <v>Advertisement</v>
          </cell>
        </row>
        <row r="10">
          <cell r="A10" t="str">
            <v>Banking expenses</v>
          </cell>
        </row>
        <row r="11">
          <cell r="A11" t="str">
            <v>Cashier</v>
          </cell>
        </row>
        <row r="12">
          <cell r="A12" t="str">
            <v>Deposit</v>
          </cell>
        </row>
        <row r="13">
          <cell r="A13" t="str">
            <v>Drinking water</v>
          </cell>
        </row>
        <row r="14">
          <cell r="A14" t="str">
            <v>Electricity</v>
          </cell>
        </row>
        <row r="15">
          <cell r="A15" t="str">
            <v>Employee insurrances</v>
          </cell>
        </row>
        <row r="16">
          <cell r="A16" t="str">
            <v>Entertainement</v>
          </cell>
        </row>
        <row r="17">
          <cell r="A17" t="str">
            <v xml:space="preserve">External with the company </v>
          </cell>
        </row>
        <row r="18">
          <cell r="A18" t="str">
            <v>Fire insurrances</v>
          </cell>
        </row>
        <row r="19">
          <cell r="A19" t="str">
            <v>Food &amp; restauration</v>
          </cell>
        </row>
        <row r="20">
          <cell r="A20" t="str">
            <v>Food &amp; restauration (workers)</v>
          </cell>
        </row>
        <row r="21">
          <cell r="A21" t="str">
            <v>Installation &amp; construction</v>
          </cell>
        </row>
        <row r="22">
          <cell r="A22" t="str">
            <v>Internet &amp; phones</v>
          </cell>
        </row>
        <row r="23">
          <cell r="A23" t="str">
            <v xml:space="preserve">Loans refunding </v>
          </cell>
        </row>
        <row r="24">
          <cell r="A24" t="str">
            <v>Maintenance</v>
          </cell>
        </row>
        <row r="25">
          <cell r="A25" t="str">
            <v>Medical</v>
          </cell>
        </row>
        <row r="26">
          <cell r="A26" t="str">
            <v>Miscellanous</v>
          </cell>
        </row>
        <row r="27">
          <cell r="A27" t="str">
            <v>Office staff salary</v>
          </cell>
        </row>
        <row r="28">
          <cell r="A28" t="str">
            <v>Office Supply</v>
          </cell>
        </row>
        <row r="29">
          <cell r="A29" t="str">
            <v>Petrol</v>
          </cell>
        </row>
      </sheetData>
      <sheetData sheetId="1">
        <row r="29">
          <cell r="F29">
            <v>23348.43</v>
          </cell>
        </row>
      </sheetData>
      <sheetData sheetId="2" refreshError="1"/>
      <sheetData sheetId="3" refreshError="1"/>
      <sheetData sheetId="4" refreshError="1"/>
      <sheetData sheetId="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stes"/>
      <sheetName val="cash flow june"/>
      <sheetName val="cash flow july"/>
      <sheetName val="cash flow august"/>
      <sheetName val="cash flow september"/>
      <sheetName val="cash flow october"/>
      <sheetName val="cash flow november"/>
      <sheetName val="cash flow december"/>
    </sheetNames>
    <sheetDataSet>
      <sheetData sheetId="0">
        <row r="3">
          <cell r="A3" t="str">
            <v>Administration</v>
          </cell>
        </row>
        <row r="4">
          <cell r="A4" t="str">
            <v>Bank Charge</v>
          </cell>
        </row>
        <row r="5">
          <cell r="A5" t="str">
            <v>Cashier</v>
          </cell>
        </row>
        <row r="6">
          <cell r="A6" t="str">
            <v>Consultant</v>
          </cell>
        </row>
        <row r="7">
          <cell r="A7" t="str">
            <v>Deposit</v>
          </cell>
        </row>
        <row r="8">
          <cell r="A8" t="str">
            <v xml:space="preserve">Depreciation </v>
          </cell>
        </row>
        <row r="9">
          <cell r="A9" t="str">
            <v>Donation</v>
          </cell>
        </row>
        <row r="10">
          <cell r="A10" t="str">
            <v>Export Expenses</v>
          </cell>
        </row>
        <row r="11">
          <cell r="A11" t="str">
            <v xml:space="preserve">External with the company </v>
          </cell>
        </row>
        <row r="12">
          <cell r="A12" t="str">
            <v>Factory Supplies</v>
          </cell>
        </row>
        <row r="13">
          <cell r="A13" t="str">
            <v>Fringe Benefit Tax</v>
          </cell>
        </row>
        <row r="14">
          <cell r="A14" t="str">
            <v>Gasoline</v>
          </cell>
        </row>
        <row r="15">
          <cell r="A15" t="str">
            <v>Housekeeping</v>
          </cell>
        </row>
        <row r="16">
          <cell r="A16" t="str">
            <v>Import Expenses</v>
          </cell>
        </row>
        <row r="17">
          <cell r="A17" t="str">
            <v>Internet Expense</v>
          </cell>
        </row>
        <row r="18">
          <cell r="A18" t="str">
            <v>Maintenance</v>
          </cell>
        </row>
        <row r="19">
          <cell r="A19" t="str">
            <v>Meal Allowance</v>
          </cell>
        </row>
        <row r="20">
          <cell r="A20" t="str">
            <v>Medical Expenses</v>
          </cell>
        </row>
        <row r="21">
          <cell r="A21" t="str">
            <v>Miscellanous</v>
          </cell>
        </row>
        <row r="22">
          <cell r="A22" t="str">
            <v>Office Rental</v>
          </cell>
        </row>
        <row r="23">
          <cell r="A23" t="str">
            <v>Office staff salary</v>
          </cell>
        </row>
        <row r="24">
          <cell r="A24" t="str">
            <v>Office Supplies</v>
          </cell>
        </row>
        <row r="25">
          <cell r="A25" t="str">
            <v>Production Supplies</v>
          </cell>
        </row>
        <row r="26">
          <cell r="A26" t="str">
            <v>Purchases RM</v>
          </cell>
        </row>
        <row r="27">
          <cell r="A27" t="str">
            <v>Salary Temporary Workers</v>
          </cell>
        </row>
        <row r="28">
          <cell r="A28" t="str">
            <v>Salary-Staff</v>
          </cell>
        </row>
        <row r="29">
          <cell r="A29" t="str">
            <v>Salary-Workers</v>
          </cell>
        </row>
        <row r="30">
          <cell r="A30" t="str">
            <v>Staff Accomodation</v>
          </cell>
        </row>
        <row r="31">
          <cell r="A31" t="str">
            <v>Stationery expenses</v>
          </cell>
        </row>
        <row r="32">
          <cell r="A32" t="str">
            <v>Subcontractings</v>
          </cell>
        </row>
        <row r="33">
          <cell r="A33" t="str">
            <v>Telephone</v>
          </cell>
        </row>
        <row r="34">
          <cell r="A34" t="str">
            <v>Toll Fee</v>
          </cell>
        </row>
        <row r="35">
          <cell r="A35" t="str">
            <v>TOS Expenses</v>
          </cell>
        </row>
        <row r="36">
          <cell r="A36" t="str">
            <v>Transportation</v>
          </cell>
        </row>
        <row r="37">
          <cell r="A37" t="str">
            <v>Travel-Accomodation</v>
          </cell>
        </row>
        <row r="38">
          <cell r="A38" t="str">
            <v>Travel-Airfare</v>
          </cell>
        </row>
        <row r="39">
          <cell r="A39" t="str">
            <v>Travel-Transportation</v>
          </cell>
        </row>
        <row r="40">
          <cell r="A40" t="str">
            <v>Utilities</v>
          </cell>
        </row>
        <row r="41">
          <cell r="A41" t="str">
            <v>Vehicules</v>
          </cell>
        </row>
        <row r="42">
          <cell r="A42" t="str">
            <v>WHT Expenses</v>
          </cell>
        </row>
        <row r="43">
          <cell r="A43" t="str">
            <v>Workpermit</v>
          </cell>
        </row>
      </sheetData>
      <sheetData sheetId="1"/>
      <sheetData sheetId="2"/>
      <sheetData sheetId="3"/>
      <sheetData sheetId="4"/>
      <sheetData sheetId="5"/>
      <sheetData sheetId="6"/>
      <sheetData sheetId="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kts Sales"/>
      <sheetName val="Non Tkts Sales"/>
      <sheetName val="Purchase"/>
      <sheetName val="Vat form"/>
      <sheetName val="Allowance PNH"/>
      <sheetName val="Allowance REP"/>
      <sheetName val="REP Salary"/>
      <sheetName val="Salary"/>
      <sheetName val="OT"/>
      <sheetName val="PH OT PAY"/>
      <sheetName val="Meal"/>
      <sheetName val="Bonus"/>
      <sheetName val="PH WORK"/>
      <sheetName val="1% profit tax"/>
      <sheetName val="2% specific tax"/>
      <sheetName val="Tax Calculation"/>
      <sheetName val="Salary tax form"/>
      <sheetName val="Tax Summary"/>
      <sheetName val="STAFF SALARY PLAN"/>
      <sheetName val="Total  tax pay for the year"/>
      <sheetName val="Withholding tax form"/>
      <sheetName val="Tax Calculation (amen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tax"/>
      <sheetName val="tax calculation"/>
      <sheetName val="Tkts Sales"/>
      <sheetName val="Non Tkts Sales"/>
      <sheetName val="Purchase"/>
      <sheetName val="Tkts Sales (PwC)"/>
      <sheetName val="Non Tkts Sales (PwC)"/>
      <sheetName val="Purchase (Pw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l tax"/>
      <sheetName val="Sheet"/>
    </sheetNames>
    <sheetDataSet>
      <sheetData sheetId="0" refreshError="1"/>
      <sheetData sheetId="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des"/>
      <sheetName val="Salary Spreadsheet"/>
      <sheetName val="Accountcode"/>
      <sheetName val="Print"/>
      <sheetName val="Data"/>
      <sheetName val="Bankaccount"/>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L"/>
      <sheetName val="P&amp;L"/>
      <sheetName val="DPR-EQUIP"/>
      <sheetName val="DPR-RENOV"/>
      <sheetName val="DPR-FF"/>
      <sheetName val="DPR-COMP"/>
      <sheetName val="ppt"/>
      <sheetName val="Penalty"/>
      <sheetName val="Entertainment"/>
      <sheetName val="INTERSET"/>
      <sheetName val="Recov-FM"/>
      <sheetName val="Salary-sum"/>
      <sheetName val="Salary-detail"/>
      <sheetName val="vat"/>
      <sheetName val="withholding"/>
      <sheetName val="Deposi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stes"/>
      <sheetName val="cash flow january"/>
      <sheetName val="cash flow february"/>
      <sheetName val="cash flow march"/>
      <sheetName val="cash flow april"/>
      <sheetName val="cash flow may"/>
      <sheetName val="cash flow june"/>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B-09"/>
      <sheetName val="Incoms.sta.Sep-03"/>
      <sheetName val="BS.Sep-03"/>
      <sheetName val="Turnove,cost recogn.Sep-03"/>
      <sheetName val="WIP"/>
      <sheetName val="Incoms_sta_Sep_03"/>
      <sheetName val="2006"/>
      <sheetName val="ESTI."/>
      <sheetName val="DI-ESTI"/>
      <sheetName val="Measurements"/>
      <sheetName val="WIP 30.9.03"/>
      <sheetName val="Ctrl_Indicators"/>
      <sheetName val="RE recon"/>
      <sheetName val="wbs fsa"/>
      <sheetName val="PMP"/>
      <sheetName val="SRM"/>
      <sheetName val="Master BS&amp;PL"/>
      <sheetName val="Technical"/>
      <sheetName val="Iron Curtain Method"/>
      <sheetName val="Incoms_sta_Sep-03"/>
      <sheetName val="BS_Sep-03"/>
      <sheetName val="Turnove,cost_recogn_Sep-03"/>
      <sheetName val="ESTI_"/>
      <sheetName val="WIP_30_9_03"/>
      <sheetName val="Control Sheet"/>
      <sheetName val="P&amp;L"/>
      <sheetName val="produc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ex"/>
      <sheetName val="Expenses"/>
      <sheetName val="General Data"/>
      <sheetName val="ExchangeRates"/>
      <sheetName val="ExchRateOffset"/>
      <sheetName val="EmpOrContractor"/>
      <sheetName val="PartTime"/>
      <sheetName val="Base Salary"/>
      <sheetName val="Catchup"/>
      <sheetName val="OTimeHrsPre6PM"/>
      <sheetName val="OTimeHrsPost6PM"/>
      <sheetName val="OTime_USD_Pre6PM"/>
      <sheetName val="OTime_USD_Post6PM"/>
      <sheetName val="OTime_TotalUSD"/>
      <sheetName val="Overtime"/>
      <sheetName val="ExcessLeave"/>
      <sheetName val="BonusesTax"/>
      <sheetName val="BonusesNonTax"/>
      <sheetName val="Allowances"/>
      <sheetName val="CashAdvances"/>
      <sheetName val="BusExpReimb"/>
      <sheetName val="CreditCard"/>
      <sheetName val="TelFaxCopy"/>
      <sheetName val="StaffLoan"/>
      <sheetName val="Kids"/>
      <sheetName val="Spouse"/>
      <sheetName val="VillaRental"/>
      <sheetName val="TaxableSalary"/>
      <sheetName val="SalaryTaxByMonth"/>
      <sheetName val="WHTbyMonth"/>
      <sheetName val="AnnualLeave"/>
      <sheetName val="Bonus2008"/>
      <sheetName val="Summary"/>
      <sheetName val="Salary"/>
      <sheetName val="Khmer%Sal."/>
      <sheetName val="SJ.Inv"/>
      <sheetName val="SumTax"/>
      <sheetName val="InpTx"/>
      <sheetName val="SummOfTaxes"/>
      <sheetName val="ChqNo"/>
      <sheetName val="PaySlipDFDL"/>
      <sheetName val="New"/>
      <sheetName val="Employees"/>
      <sheetName val="Date"/>
    </sheetNames>
    <sheetDataSet>
      <sheetData sheetId="0"/>
      <sheetData sheetId="1"/>
      <sheetData sheetId="2"/>
      <sheetData sheetId="3"/>
      <sheetData sheetId="4"/>
      <sheetData sheetId="5">
        <row r="5">
          <cell r="A5">
            <v>1</v>
          </cell>
          <cell r="B5" t="str">
            <v>Brennan Coleman</v>
          </cell>
          <cell r="C5">
            <v>0</v>
          </cell>
          <cell r="D5">
            <v>0</v>
          </cell>
          <cell r="E5">
            <v>0</v>
          </cell>
          <cell r="F5">
            <v>0</v>
          </cell>
          <cell r="G5">
            <v>0</v>
          </cell>
          <cell r="H5">
            <v>0</v>
          </cell>
          <cell r="I5">
            <v>0</v>
          </cell>
          <cell r="J5">
            <v>0</v>
          </cell>
          <cell r="K5">
            <v>0</v>
          </cell>
          <cell r="L5">
            <v>0</v>
          </cell>
          <cell r="M5">
            <v>0</v>
          </cell>
          <cell r="N5">
            <v>0</v>
          </cell>
        </row>
        <row r="6">
          <cell r="A6">
            <v>2</v>
          </cell>
          <cell r="B6" t="str">
            <v>Alexander May</v>
          </cell>
          <cell r="C6">
            <v>0</v>
          </cell>
          <cell r="D6">
            <v>0</v>
          </cell>
          <cell r="E6">
            <v>0</v>
          </cell>
          <cell r="F6">
            <v>0</v>
          </cell>
          <cell r="G6">
            <v>0</v>
          </cell>
          <cell r="H6">
            <v>0</v>
          </cell>
          <cell r="I6">
            <v>0</v>
          </cell>
          <cell r="J6">
            <v>0</v>
          </cell>
          <cell r="K6">
            <v>0</v>
          </cell>
          <cell r="L6">
            <v>0</v>
          </cell>
          <cell r="M6">
            <v>0</v>
          </cell>
          <cell r="N6">
            <v>0</v>
          </cell>
        </row>
        <row r="7">
          <cell r="A7">
            <v>3</v>
          </cell>
          <cell r="B7" t="str">
            <v>EHGL</v>
          </cell>
          <cell r="C7">
            <v>1</v>
          </cell>
          <cell r="D7">
            <v>1</v>
          </cell>
          <cell r="E7">
            <v>1</v>
          </cell>
          <cell r="F7">
            <v>1</v>
          </cell>
          <cell r="G7">
            <v>1</v>
          </cell>
          <cell r="H7">
            <v>1</v>
          </cell>
          <cell r="I7">
            <v>1</v>
          </cell>
          <cell r="J7">
            <v>1</v>
          </cell>
          <cell r="K7">
            <v>1</v>
          </cell>
          <cell r="L7">
            <v>1</v>
          </cell>
          <cell r="M7">
            <v>1</v>
          </cell>
          <cell r="N7">
            <v>1</v>
          </cell>
        </row>
        <row r="8">
          <cell r="A8">
            <v>4</v>
          </cell>
          <cell r="B8" t="str">
            <v>Alexander May</v>
          </cell>
          <cell r="C8">
            <v>0</v>
          </cell>
          <cell r="D8">
            <v>0</v>
          </cell>
          <cell r="E8">
            <v>0</v>
          </cell>
          <cell r="F8">
            <v>0</v>
          </cell>
          <cell r="G8">
            <v>0</v>
          </cell>
          <cell r="H8">
            <v>0</v>
          </cell>
          <cell r="I8">
            <v>0</v>
          </cell>
          <cell r="J8">
            <v>0</v>
          </cell>
          <cell r="K8">
            <v>0</v>
          </cell>
          <cell r="L8">
            <v>0</v>
          </cell>
          <cell r="M8">
            <v>0</v>
          </cell>
          <cell r="N8">
            <v>0</v>
          </cell>
        </row>
        <row r="9">
          <cell r="A9">
            <v>5</v>
          </cell>
          <cell r="B9" t="str">
            <v>Dun Kosal</v>
          </cell>
          <cell r="C9">
            <v>0</v>
          </cell>
          <cell r="D9">
            <v>0</v>
          </cell>
          <cell r="E9">
            <v>0</v>
          </cell>
          <cell r="F9">
            <v>0</v>
          </cell>
          <cell r="G9">
            <v>0</v>
          </cell>
          <cell r="H9">
            <v>0</v>
          </cell>
          <cell r="I9">
            <v>0</v>
          </cell>
          <cell r="J9">
            <v>0</v>
          </cell>
          <cell r="K9">
            <v>0</v>
          </cell>
          <cell r="L9">
            <v>0</v>
          </cell>
          <cell r="M9">
            <v>0</v>
          </cell>
          <cell r="N9">
            <v>0</v>
          </cell>
        </row>
        <row r="10">
          <cell r="A10">
            <v>6</v>
          </cell>
          <cell r="B10" t="str">
            <v>Eb Houy</v>
          </cell>
          <cell r="C10">
            <v>0</v>
          </cell>
          <cell r="D10">
            <v>0</v>
          </cell>
          <cell r="E10">
            <v>0</v>
          </cell>
          <cell r="F10">
            <v>0</v>
          </cell>
          <cell r="G10">
            <v>0</v>
          </cell>
          <cell r="H10">
            <v>0</v>
          </cell>
          <cell r="I10">
            <v>0</v>
          </cell>
          <cell r="J10">
            <v>0</v>
          </cell>
          <cell r="K10">
            <v>0</v>
          </cell>
          <cell r="L10">
            <v>0</v>
          </cell>
          <cell r="M10">
            <v>0</v>
          </cell>
          <cell r="N10">
            <v>0</v>
          </cell>
        </row>
        <row r="11">
          <cell r="A11">
            <v>7</v>
          </cell>
          <cell r="B11">
            <v>0</v>
          </cell>
          <cell r="C11">
            <v>0</v>
          </cell>
          <cell r="D11">
            <v>0</v>
          </cell>
          <cell r="E11">
            <v>0</v>
          </cell>
          <cell r="F11">
            <v>0</v>
          </cell>
          <cell r="G11">
            <v>0</v>
          </cell>
          <cell r="H11">
            <v>0</v>
          </cell>
          <cell r="I11">
            <v>0</v>
          </cell>
          <cell r="J11">
            <v>0</v>
          </cell>
          <cell r="K11">
            <v>0</v>
          </cell>
          <cell r="L11">
            <v>0</v>
          </cell>
          <cell r="M11">
            <v>0</v>
          </cell>
          <cell r="N11">
            <v>0</v>
          </cell>
        </row>
        <row r="12">
          <cell r="A12">
            <v>8</v>
          </cell>
          <cell r="B12">
            <v>0</v>
          </cell>
          <cell r="C12">
            <v>0</v>
          </cell>
          <cell r="D12">
            <v>0</v>
          </cell>
          <cell r="E12">
            <v>0</v>
          </cell>
          <cell r="F12">
            <v>0</v>
          </cell>
          <cell r="G12">
            <v>0</v>
          </cell>
          <cell r="H12">
            <v>0</v>
          </cell>
          <cell r="I12">
            <v>0</v>
          </cell>
          <cell r="J12">
            <v>0</v>
          </cell>
          <cell r="K12">
            <v>0</v>
          </cell>
          <cell r="L12">
            <v>0</v>
          </cell>
          <cell r="M12">
            <v>0</v>
          </cell>
          <cell r="N12">
            <v>0</v>
          </cell>
        </row>
        <row r="13">
          <cell r="A13">
            <v>9</v>
          </cell>
          <cell r="B13" t="str">
            <v>Hang Sina</v>
          </cell>
          <cell r="C13">
            <v>0</v>
          </cell>
          <cell r="D13">
            <v>0</v>
          </cell>
          <cell r="E13">
            <v>0</v>
          </cell>
          <cell r="F13">
            <v>0</v>
          </cell>
          <cell r="G13">
            <v>0</v>
          </cell>
          <cell r="H13">
            <v>0</v>
          </cell>
          <cell r="I13">
            <v>0</v>
          </cell>
          <cell r="J13">
            <v>0</v>
          </cell>
          <cell r="K13">
            <v>0</v>
          </cell>
          <cell r="L13">
            <v>0</v>
          </cell>
          <cell r="M13">
            <v>0</v>
          </cell>
          <cell r="N13">
            <v>0</v>
          </cell>
        </row>
        <row r="14">
          <cell r="A14">
            <v>10</v>
          </cell>
          <cell r="B14" t="str">
            <v xml:space="preserve">Hang Vannak </v>
          </cell>
          <cell r="C14">
            <v>0</v>
          </cell>
          <cell r="D14">
            <v>0</v>
          </cell>
          <cell r="E14">
            <v>0</v>
          </cell>
          <cell r="F14">
            <v>0</v>
          </cell>
          <cell r="G14">
            <v>0</v>
          </cell>
          <cell r="H14">
            <v>0</v>
          </cell>
          <cell r="I14">
            <v>0</v>
          </cell>
          <cell r="J14">
            <v>0</v>
          </cell>
          <cell r="K14">
            <v>0</v>
          </cell>
          <cell r="L14">
            <v>0</v>
          </cell>
          <cell r="M14">
            <v>0</v>
          </cell>
          <cell r="N14">
            <v>0</v>
          </cell>
        </row>
        <row r="15">
          <cell r="A15">
            <v>11</v>
          </cell>
          <cell r="B15">
            <v>0</v>
          </cell>
          <cell r="C15">
            <v>0</v>
          </cell>
          <cell r="D15">
            <v>0</v>
          </cell>
          <cell r="E15">
            <v>0</v>
          </cell>
          <cell r="F15">
            <v>0</v>
          </cell>
          <cell r="G15">
            <v>0</v>
          </cell>
          <cell r="H15">
            <v>0</v>
          </cell>
          <cell r="I15">
            <v>0</v>
          </cell>
          <cell r="J15">
            <v>0</v>
          </cell>
          <cell r="K15">
            <v>0</v>
          </cell>
          <cell r="L15">
            <v>0</v>
          </cell>
          <cell r="M15">
            <v>0</v>
          </cell>
          <cell r="N15">
            <v>0</v>
          </cell>
        </row>
        <row r="16">
          <cell r="A16">
            <v>12</v>
          </cell>
          <cell r="B16">
            <v>0</v>
          </cell>
          <cell r="C16">
            <v>0</v>
          </cell>
          <cell r="D16">
            <v>0</v>
          </cell>
          <cell r="E16">
            <v>0</v>
          </cell>
          <cell r="F16">
            <v>0</v>
          </cell>
          <cell r="G16">
            <v>0</v>
          </cell>
          <cell r="H16">
            <v>0</v>
          </cell>
          <cell r="I16">
            <v>0</v>
          </cell>
          <cell r="J16">
            <v>0</v>
          </cell>
          <cell r="K16">
            <v>0</v>
          </cell>
          <cell r="L16">
            <v>0</v>
          </cell>
          <cell r="M16">
            <v>0</v>
          </cell>
          <cell r="N16">
            <v>0</v>
          </cell>
        </row>
        <row r="17">
          <cell r="A17">
            <v>13</v>
          </cell>
          <cell r="B17" t="str">
            <v>Heng Chhorvortey</v>
          </cell>
          <cell r="C17">
            <v>0</v>
          </cell>
          <cell r="D17">
            <v>0</v>
          </cell>
          <cell r="E17">
            <v>0</v>
          </cell>
          <cell r="F17">
            <v>0</v>
          </cell>
          <cell r="G17">
            <v>0</v>
          </cell>
          <cell r="H17">
            <v>0</v>
          </cell>
          <cell r="I17">
            <v>0</v>
          </cell>
          <cell r="J17">
            <v>0</v>
          </cell>
          <cell r="K17">
            <v>0</v>
          </cell>
          <cell r="L17">
            <v>0</v>
          </cell>
          <cell r="M17">
            <v>0</v>
          </cell>
          <cell r="N17">
            <v>0</v>
          </cell>
        </row>
        <row r="18">
          <cell r="A18">
            <v>14</v>
          </cell>
          <cell r="B18">
            <v>0</v>
          </cell>
          <cell r="C18">
            <v>1</v>
          </cell>
          <cell r="D18">
            <v>1</v>
          </cell>
          <cell r="E18">
            <v>1</v>
          </cell>
          <cell r="F18">
            <v>1</v>
          </cell>
          <cell r="G18">
            <v>1</v>
          </cell>
          <cell r="H18">
            <v>1</v>
          </cell>
          <cell r="I18">
            <v>1</v>
          </cell>
          <cell r="J18">
            <v>1</v>
          </cell>
          <cell r="K18">
            <v>1</v>
          </cell>
          <cell r="L18">
            <v>1</v>
          </cell>
          <cell r="M18">
            <v>1</v>
          </cell>
          <cell r="N18">
            <v>1</v>
          </cell>
        </row>
        <row r="19">
          <cell r="A19">
            <v>15</v>
          </cell>
          <cell r="B19" t="str">
            <v>Jamie Cummiskey</v>
          </cell>
          <cell r="C19">
            <v>1</v>
          </cell>
          <cell r="D19">
            <v>1</v>
          </cell>
          <cell r="E19">
            <v>1</v>
          </cell>
          <cell r="F19">
            <v>1</v>
          </cell>
          <cell r="G19">
            <v>1</v>
          </cell>
          <cell r="H19">
            <v>1</v>
          </cell>
          <cell r="I19">
            <v>1</v>
          </cell>
          <cell r="J19">
            <v>1</v>
          </cell>
          <cell r="K19">
            <v>1</v>
          </cell>
          <cell r="L19">
            <v>1</v>
          </cell>
          <cell r="M19">
            <v>1</v>
          </cell>
          <cell r="N19">
            <v>1</v>
          </cell>
        </row>
        <row r="20">
          <cell r="A20">
            <v>16</v>
          </cell>
          <cell r="B20" t="str">
            <v>Kim Bunnavuth</v>
          </cell>
          <cell r="C20">
            <v>0</v>
          </cell>
          <cell r="D20">
            <v>0</v>
          </cell>
          <cell r="E20">
            <v>0</v>
          </cell>
          <cell r="F20">
            <v>0</v>
          </cell>
          <cell r="G20">
            <v>0</v>
          </cell>
          <cell r="H20">
            <v>0</v>
          </cell>
          <cell r="I20">
            <v>0</v>
          </cell>
          <cell r="J20">
            <v>0</v>
          </cell>
          <cell r="K20">
            <v>0</v>
          </cell>
          <cell r="L20">
            <v>0</v>
          </cell>
          <cell r="M20">
            <v>0</v>
          </cell>
          <cell r="N20">
            <v>0</v>
          </cell>
        </row>
        <row r="21">
          <cell r="A21">
            <v>17</v>
          </cell>
          <cell r="B21" t="str">
            <v>Kim Serey Sokha</v>
          </cell>
          <cell r="C21">
            <v>0</v>
          </cell>
          <cell r="D21">
            <v>0</v>
          </cell>
          <cell r="E21">
            <v>0</v>
          </cell>
          <cell r="F21">
            <v>0</v>
          </cell>
          <cell r="G21">
            <v>0</v>
          </cell>
          <cell r="H21">
            <v>0</v>
          </cell>
          <cell r="I21">
            <v>0</v>
          </cell>
          <cell r="J21">
            <v>0</v>
          </cell>
          <cell r="K21">
            <v>0</v>
          </cell>
          <cell r="L21">
            <v>0</v>
          </cell>
          <cell r="M21">
            <v>0</v>
          </cell>
          <cell r="N21">
            <v>0</v>
          </cell>
        </row>
        <row r="22">
          <cell r="A22">
            <v>18</v>
          </cell>
          <cell r="B22" t="str">
            <v xml:space="preserve">Kong Chhung </v>
          </cell>
          <cell r="C22">
            <v>1</v>
          </cell>
          <cell r="D22">
            <v>1</v>
          </cell>
          <cell r="E22">
            <v>1</v>
          </cell>
          <cell r="F22">
            <v>1</v>
          </cell>
          <cell r="G22">
            <v>1</v>
          </cell>
          <cell r="H22">
            <v>1</v>
          </cell>
          <cell r="I22">
            <v>1</v>
          </cell>
          <cell r="J22">
            <v>1</v>
          </cell>
          <cell r="K22">
            <v>1</v>
          </cell>
          <cell r="L22">
            <v>1</v>
          </cell>
          <cell r="M22">
            <v>1</v>
          </cell>
          <cell r="N22">
            <v>1</v>
          </cell>
        </row>
        <row r="23">
          <cell r="A23">
            <v>19</v>
          </cell>
          <cell r="B23" t="str">
            <v>Kong Putheavy</v>
          </cell>
          <cell r="C23">
            <v>0</v>
          </cell>
          <cell r="D23">
            <v>0</v>
          </cell>
          <cell r="E23">
            <v>0</v>
          </cell>
          <cell r="F23">
            <v>0</v>
          </cell>
          <cell r="G23">
            <v>0</v>
          </cell>
          <cell r="H23">
            <v>0</v>
          </cell>
          <cell r="I23">
            <v>0</v>
          </cell>
          <cell r="J23">
            <v>0</v>
          </cell>
          <cell r="K23">
            <v>0</v>
          </cell>
          <cell r="L23">
            <v>0</v>
          </cell>
          <cell r="M23">
            <v>0</v>
          </cell>
          <cell r="N23">
            <v>0</v>
          </cell>
        </row>
        <row r="24">
          <cell r="A24">
            <v>20</v>
          </cell>
          <cell r="B24">
            <v>0</v>
          </cell>
          <cell r="C24">
            <v>0</v>
          </cell>
          <cell r="D24">
            <v>0</v>
          </cell>
          <cell r="E24">
            <v>0</v>
          </cell>
          <cell r="F24">
            <v>0</v>
          </cell>
          <cell r="G24">
            <v>0</v>
          </cell>
          <cell r="H24">
            <v>0</v>
          </cell>
          <cell r="I24">
            <v>0</v>
          </cell>
          <cell r="J24">
            <v>0</v>
          </cell>
          <cell r="K24">
            <v>0</v>
          </cell>
          <cell r="L24">
            <v>0</v>
          </cell>
          <cell r="M24">
            <v>0</v>
          </cell>
          <cell r="N24">
            <v>0</v>
          </cell>
        </row>
        <row r="25">
          <cell r="A25">
            <v>21</v>
          </cell>
          <cell r="B25" t="str">
            <v>Kao Vannarith</v>
          </cell>
          <cell r="C25">
            <v>0</v>
          </cell>
          <cell r="D25">
            <v>0</v>
          </cell>
          <cell r="E25">
            <v>0</v>
          </cell>
          <cell r="F25">
            <v>0</v>
          </cell>
          <cell r="G25">
            <v>0</v>
          </cell>
          <cell r="H25">
            <v>0</v>
          </cell>
          <cell r="I25">
            <v>0</v>
          </cell>
          <cell r="J25">
            <v>0</v>
          </cell>
          <cell r="K25">
            <v>0</v>
          </cell>
          <cell r="L25">
            <v>0</v>
          </cell>
          <cell r="M25">
            <v>0</v>
          </cell>
          <cell r="N25">
            <v>0</v>
          </cell>
        </row>
        <row r="26">
          <cell r="A26">
            <v>22</v>
          </cell>
          <cell r="B26" t="str">
            <v>Ly Sambo</v>
          </cell>
          <cell r="C26">
            <v>0</v>
          </cell>
          <cell r="D26">
            <v>0</v>
          </cell>
          <cell r="E26">
            <v>0</v>
          </cell>
          <cell r="F26">
            <v>0</v>
          </cell>
          <cell r="G26">
            <v>0</v>
          </cell>
          <cell r="H26">
            <v>0</v>
          </cell>
          <cell r="I26">
            <v>0</v>
          </cell>
          <cell r="J26">
            <v>0</v>
          </cell>
          <cell r="K26">
            <v>0</v>
          </cell>
          <cell r="L26">
            <v>0</v>
          </cell>
          <cell r="M26">
            <v>0</v>
          </cell>
          <cell r="N26">
            <v>0</v>
          </cell>
        </row>
        <row r="27">
          <cell r="A27">
            <v>23</v>
          </cell>
          <cell r="B27" t="str">
            <v>Ly Tay Seng</v>
          </cell>
          <cell r="C27">
            <v>1</v>
          </cell>
          <cell r="D27">
            <v>1</v>
          </cell>
          <cell r="E27">
            <v>1</v>
          </cell>
          <cell r="F27">
            <v>1</v>
          </cell>
          <cell r="G27">
            <v>1</v>
          </cell>
          <cell r="H27">
            <v>1</v>
          </cell>
          <cell r="I27">
            <v>1</v>
          </cell>
          <cell r="J27">
            <v>1</v>
          </cell>
          <cell r="K27">
            <v>1</v>
          </cell>
          <cell r="L27">
            <v>1</v>
          </cell>
          <cell r="M27">
            <v>1</v>
          </cell>
          <cell r="N27">
            <v>1</v>
          </cell>
        </row>
        <row r="28">
          <cell r="A28">
            <v>24</v>
          </cell>
          <cell r="B28" t="str">
            <v>Mao Samvutheary</v>
          </cell>
          <cell r="C28">
            <v>1</v>
          </cell>
          <cell r="D28">
            <v>1</v>
          </cell>
          <cell r="E28">
            <v>1</v>
          </cell>
          <cell r="F28">
            <v>1</v>
          </cell>
          <cell r="G28">
            <v>1</v>
          </cell>
          <cell r="H28">
            <v>1</v>
          </cell>
          <cell r="I28">
            <v>1</v>
          </cell>
          <cell r="J28">
            <v>1</v>
          </cell>
          <cell r="K28">
            <v>1</v>
          </cell>
          <cell r="L28">
            <v>1</v>
          </cell>
          <cell r="M28">
            <v>1</v>
          </cell>
          <cell r="N28">
            <v>1</v>
          </cell>
        </row>
        <row r="29">
          <cell r="A29">
            <v>25</v>
          </cell>
          <cell r="B29" t="str">
            <v>Martin Desautels</v>
          </cell>
          <cell r="C29">
            <v>0</v>
          </cell>
          <cell r="D29">
            <v>0</v>
          </cell>
          <cell r="E29">
            <v>0</v>
          </cell>
          <cell r="F29">
            <v>0</v>
          </cell>
          <cell r="G29">
            <v>0</v>
          </cell>
          <cell r="H29">
            <v>0</v>
          </cell>
          <cell r="I29">
            <v>0</v>
          </cell>
          <cell r="J29">
            <v>0</v>
          </cell>
          <cell r="K29">
            <v>0</v>
          </cell>
          <cell r="L29">
            <v>0</v>
          </cell>
          <cell r="M29">
            <v>0</v>
          </cell>
          <cell r="N29">
            <v>0</v>
          </cell>
        </row>
        <row r="30">
          <cell r="A30">
            <v>26</v>
          </cell>
          <cell r="B30">
            <v>0</v>
          </cell>
          <cell r="C30">
            <v>0</v>
          </cell>
          <cell r="D30">
            <v>0</v>
          </cell>
          <cell r="E30">
            <v>0</v>
          </cell>
          <cell r="F30">
            <v>0</v>
          </cell>
          <cell r="G30">
            <v>0</v>
          </cell>
          <cell r="H30">
            <v>0</v>
          </cell>
          <cell r="I30">
            <v>0</v>
          </cell>
          <cell r="J30">
            <v>0</v>
          </cell>
          <cell r="K30">
            <v>0</v>
          </cell>
          <cell r="L30">
            <v>0</v>
          </cell>
          <cell r="M30">
            <v>0</v>
          </cell>
          <cell r="N30">
            <v>0</v>
          </cell>
        </row>
        <row r="31">
          <cell r="A31">
            <v>27</v>
          </cell>
          <cell r="B31" t="str">
            <v xml:space="preserve">Me Kim Thuon </v>
          </cell>
          <cell r="C31">
            <v>0</v>
          </cell>
          <cell r="D31">
            <v>0</v>
          </cell>
          <cell r="E31">
            <v>0</v>
          </cell>
          <cell r="F31">
            <v>0</v>
          </cell>
          <cell r="G31">
            <v>0</v>
          </cell>
          <cell r="H31">
            <v>0</v>
          </cell>
          <cell r="I31">
            <v>0</v>
          </cell>
          <cell r="J31">
            <v>0</v>
          </cell>
          <cell r="K31">
            <v>0</v>
          </cell>
          <cell r="L31">
            <v>0</v>
          </cell>
          <cell r="M31">
            <v>0</v>
          </cell>
          <cell r="N31">
            <v>0</v>
          </cell>
        </row>
        <row r="32">
          <cell r="A32">
            <v>28</v>
          </cell>
          <cell r="B32">
            <v>0</v>
          </cell>
          <cell r="C32">
            <v>0</v>
          </cell>
          <cell r="D32">
            <v>0</v>
          </cell>
          <cell r="E32">
            <v>0</v>
          </cell>
          <cell r="F32">
            <v>0</v>
          </cell>
          <cell r="G32">
            <v>0</v>
          </cell>
          <cell r="H32">
            <v>0</v>
          </cell>
          <cell r="I32">
            <v>0</v>
          </cell>
          <cell r="J32">
            <v>0</v>
          </cell>
          <cell r="K32">
            <v>0</v>
          </cell>
          <cell r="L32">
            <v>0</v>
          </cell>
          <cell r="M32">
            <v>0</v>
          </cell>
          <cell r="N32">
            <v>0</v>
          </cell>
        </row>
        <row r="33">
          <cell r="A33">
            <v>29</v>
          </cell>
          <cell r="B33" t="str">
            <v>Minh Samoeun</v>
          </cell>
          <cell r="C33">
            <v>0</v>
          </cell>
          <cell r="D33">
            <v>0</v>
          </cell>
          <cell r="E33">
            <v>0</v>
          </cell>
          <cell r="F33">
            <v>0</v>
          </cell>
          <cell r="G33">
            <v>0</v>
          </cell>
          <cell r="H33">
            <v>0</v>
          </cell>
          <cell r="I33">
            <v>0</v>
          </cell>
          <cell r="J33">
            <v>0</v>
          </cell>
          <cell r="K33">
            <v>0</v>
          </cell>
          <cell r="L33">
            <v>0</v>
          </cell>
          <cell r="M33">
            <v>0</v>
          </cell>
          <cell r="N33">
            <v>0</v>
          </cell>
        </row>
        <row r="34">
          <cell r="A34">
            <v>30</v>
          </cell>
          <cell r="B34" t="str">
            <v>Mom Bunna</v>
          </cell>
          <cell r="C34">
            <v>0</v>
          </cell>
          <cell r="D34">
            <v>0</v>
          </cell>
          <cell r="E34">
            <v>0</v>
          </cell>
          <cell r="F34">
            <v>0</v>
          </cell>
          <cell r="G34">
            <v>0</v>
          </cell>
          <cell r="H34">
            <v>0</v>
          </cell>
          <cell r="I34">
            <v>0</v>
          </cell>
          <cell r="J34">
            <v>0</v>
          </cell>
          <cell r="K34">
            <v>0</v>
          </cell>
          <cell r="L34">
            <v>0</v>
          </cell>
          <cell r="M34">
            <v>0</v>
          </cell>
          <cell r="N34">
            <v>0</v>
          </cell>
        </row>
        <row r="35">
          <cell r="A35">
            <v>31</v>
          </cell>
          <cell r="B35">
            <v>0</v>
          </cell>
          <cell r="C35">
            <v>0</v>
          </cell>
          <cell r="D35">
            <v>0</v>
          </cell>
          <cell r="E35">
            <v>0</v>
          </cell>
          <cell r="F35">
            <v>0</v>
          </cell>
          <cell r="G35">
            <v>0</v>
          </cell>
          <cell r="H35">
            <v>0</v>
          </cell>
          <cell r="I35">
            <v>0</v>
          </cell>
          <cell r="J35">
            <v>0</v>
          </cell>
          <cell r="K35">
            <v>0</v>
          </cell>
          <cell r="L35">
            <v>0</v>
          </cell>
          <cell r="M35">
            <v>0</v>
          </cell>
          <cell r="N35">
            <v>0</v>
          </cell>
        </row>
        <row r="36">
          <cell r="A36">
            <v>32</v>
          </cell>
          <cell r="B36" t="str">
            <v>Nhem Phal</v>
          </cell>
          <cell r="C36">
            <v>0</v>
          </cell>
          <cell r="D36">
            <v>0</v>
          </cell>
          <cell r="E36">
            <v>0</v>
          </cell>
          <cell r="F36">
            <v>0</v>
          </cell>
          <cell r="G36">
            <v>0</v>
          </cell>
          <cell r="H36">
            <v>0</v>
          </cell>
          <cell r="I36">
            <v>0</v>
          </cell>
          <cell r="J36">
            <v>0</v>
          </cell>
          <cell r="K36">
            <v>0</v>
          </cell>
          <cell r="L36">
            <v>0</v>
          </cell>
          <cell r="M36">
            <v>0</v>
          </cell>
          <cell r="N36">
            <v>0</v>
          </cell>
        </row>
        <row r="37">
          <cell r="A37">
            <v>33</v>
          </cell>
          <cell r="B37" t="str">
            <v>Chea Kanitha</v>
          </cell>
          <cell r="C37">
            <v>0</v>
          </cell>
          <cell r="D37">
            <v>0</v>
          </cell>
          <cell r="E37">
            <v>0</v>
          </cell>
          <cell r="F37">
            <v>0</v>
          </cell>
          <cell r="G37">
            <v>0</v>
          </cell>
          <cell r="H37">
            <v>0</v>
          </cell>
          <cell r="I37">
            <v>0</v>
          </cell>
          <cell r="J37">
            <v>0</v>
          </cell>
          <cell r="K37">
            <v>0</v>
          </cell>
          <cell r="L37">
            <v>0</v>
          </cell>
          <cell r="M37">
            <v>0</v>
          </cell>
          <cell r="N37">
            <v>0</v>
          </cell>
        </row>
        <row r="38">
          <cell r="A38">
            <v>34</v>
          </cell>
          <cell r="B38" t="str">
            <v>Patrick Pilon</v>
          </cell>
          <cell r="C38">
            <v>0</v>
          </cell>
          <cell r="D38">
            <v>0</v>
          </cell>
          <cell r="E38">
            <v>0</v>
          </cell>
          <cell r="F38">
            <v>0</v>
          </cell>
          <cell r="G38">
            <v>0</v>
          </cell>
          <cell r="H38">
            <v>0</v>
          </cell>
          <cell r="I38">
            <v>0</v>
          </cell>
          <cell r="J38">
            <v>0</v>
          </cell>
          <cell r="K38">
            <v>0</v>
          </cell>
          <cell r="L38">
            <v>0</v>
          </cell>
          <cell r="M38">
            <v>0</v>
          </cell>
          <cell r="N38">
            <v>0</v>
          </cell>
        </row>
        <row r="39">
          <cell r="A39">
            <v>35</v>
          </cell>
          <cell r="B39" t="str">
            <v>Peou Sopheak</v>
          </cell>
          <cell r="C39">
            <v>0</v>
          </cell>
          <cell r="D39">
            <v>0</v>
          </cell>
          <cell r="E39">
            <v>0</v>
          </cell>
          <cell r="F39">
            <v>0</v>
          </cell>
          <cell r="G39">
            <v>0</v>
          </cell>
          <cell r="H39">
            <v>0</v>
          </cell>
          <cell r="I39">
            <v>0</v>
          </cell>
          <cell r="J39">
            <v>0</v>
          </cell>
          <cell r="K39">
            <v>0</v>
          </cell>
          <cell r="L39">
            <v>0</v>
          </cell>
          <cell r="M39">
            <v>0</v>
          </cell>
          <cell r="N39">
            <v>0</v>
          </cell>
        </row>
        <row r="40">
          <cell r="A40">
            <v>36</v>
          </cell>
          <cell r="B40" t="str">
            <v>Poynee</v>
          </cell>
          <cell r="C40">
            <v>0</v>
          </cell>
          <cell r="D40">
            <v>0</v>
          </cell>
          <cell r="E40">
            <v>0</v>
          </cell>
          <cell r="F40">
            <v>0</v>
          </cell>
          <cell r="G40">
            <v>0</v>
          </cell>
          <cell r="H40">
            <v>0</v>
          </cell>
          <cell r="I40">
            <v>0</v>
          </cell>
          <cell r="J40">
            <v>0</v>
          </cell>
          <cell r="K40">
            <v>0</v>
          </cell>
          <cell r="L40">
            <v>0</v>
          </cell>
          <cell r="M40">
            <v>0</v>
          </cell>
          <cell r="N40">
            <v>0</v>
          </cell>
        </row>
        <row r="41">
          <cell r="A41">
            <v>37</v>
          </cell>
          <cell r="B41" t="str">
            <v>Prak Sihakriddh</v>
          </cell>
          <cell r="C41">
            <v>0</v>
          </cell>
          <cell r="D41">
            <v>0</v>
          </cell>
          <cell r="E41">
            <v>0</v>
          </cell>
          <cell r="F41">
            <v>0</v>
          </cell>
          <cell r="G41">
            <v>0</v>
          </cell>
          <cell r="H41">
            <v>0</v>
          </cell>
          <cell r="I41">
            <v>0</v>
          </cell>
          <cell r="J41">
            <v>0</v>
          </cell>
          <cell r="K41">
            <v>0</v>
          </cell>
          <cell r="L41">
            <v>0</v>
          </cell>
          <cell r="M41">
            <v>0</v>
          </cell>
          <cell r="N41">
            <v>0</v>
          </cell>
        </row>
        <row r="42">
          <cell r="A42">
            <v>38</v>
          </cell>
          <cell r="B42" t="str">
            <v>Rupert Haw</v>
          </cell>
          <cell r="C42">
            <v>0</v>
          </cell>
          <cell r="D42">
            <v>0</v>
          </cell>
          <cell r="E42">
            <v>0</v>
          </cell>
          <cell r="F42">
            <v>0</v>
          </cell>
          <cell r="G42">
            <v>0</v>
          </cell>
          <cell r="H42">
            <v>0</v>
          </cell>
          <cell r="I42">
            <v>0</v>
          </cell>
          <cell r="J42">
            <v>0</v>
          </cell>
          <cell r="K42">
            <v>0</v>
          </cell>
          <cell r="L42">
            <v>0</v>
          </cell>
          <cell r="M42">
            <v>0</v>
          </cell>
          <cell r="N42">
            <v>0</v>
          </cell>
        </row>
        <row r="43">
          <cell r="A43">
            <v>39</v>
          </cell>
          <cell r="B43" t="str">
            <v>Sar Vathana</v>
          </cell>
          <cell r="C43">
            <v>0</v>
          </cell>
          <cell r="D43">
            <v>0</v>
          </cell>
          <cell r="E43">
            <v>0</v>
          </cell>
          <cell r="F43">
            <v>0</v>
          </cell>
          <cell r="G43">
            <v>0</v>
          </cell>
          <cell r="H43">
            <v>0</v>
          </cell>
          <cell r="I43">
            <v>0</v>
          </cell>
          <cell r="J43">
            <v>0</v>
          </cell>
          <cell r="K43">
            <v>0</v>
          </cell>
          <cell r="L43">
            <v>0</v>
          </cell>
          <cell r="M43">
            <v>0</v>
          </cell>
          <cell r="N43">
            <v>0</v>
          </cell>
        </row>
        <row r="44">
          <cell r="A44">
            <v>40</v>
          </cell>
          <cell r="B44" t="str">
            <v>Sek Rany</v>
          </cell>
          <cell r="C44">
            <v>0</v>
          </cell>
          <cell r="D44">
            <v>0</v>
          </cell>
          <cell r="E44">
            <v>0</v>
          </cell>
          <cell r="F44">
            <v>0</v>
          </cell>
          <cell r="G44">
            <v>0</v>
          </cell>
          <cell r="H44">
            <v>0</v>
          </cell>
          <cell r="I44">
            <v>0</v>
          </cell>
          <cell r="J44">
            <v>0</v>
          </cell>
          <cell r="K44">
            <v>0</v>
          </cell>
          <cell r="L44">
            <v>0</v>
          </cell>
          <cell r="M44">
            <v>0</v>
          </cell>
          <cell r="N44">
            <v>0</v>
          </cell>
        </row>
        <row r="45">
          <cell r="A45">
            <v>41</v>
          </cell>
          <cell r="B45" t="str">
            <v>Sin Sivutha</v>
          </cell>
          <cell r="C45">
            <v>0</v>
          </cell>
          <cell r="D45">
            <v>0</v>
          </cell>
          <cell r="E45">
            <v>0</v>
          </cell>
          <cell r="F45">
            <v>0</v>
          </cell>
          <cell r="G45">
            <v>0</v>
          </cell>
          <cell r="H45">
            <v>0</v>
          </cell>
          <cell r="I45">
            <v>0</v>
          </cell>
          <cell r="J45">
            <v>0</v>
          </cell>
          <cell r="K45">
            <v>0</v>
          </cell>
          <cell r="L45">
            <v>0</v>
          </cell>
          <cell r="M45">
            <v>0</v>
          </cell>
          <cell r="N45">
            <v>0</v>
          </cell>
        </row>
        <row r="46">
          <cell r="A46">
            <v>42</v>
          </cell>
          <cell r="B46" t="str">
            <v>Sok Sonida</v>
          </cell>
          <cell r="C46">
            <v>0</v>
          </cell>
          <cell r="D46">
            <v>0</v>
          </cell>
          <cell r="E46">
            <v>0</v>
          </cell>
          <cell r="F46">
            <v>0</v>
          </cell>
          <cell r="G46">
            <v>0</v>
          </cell>
          <cell r="H46">
            <v>0</v>
          </cell>
          <cell r="I46">
            <v>0</v>
          </cell>
          <cell r="J46">
            <v>0</v>
          </cell>
          <cell r="K46">
            <v>0</v>
          </cell>
          <cell r="L46">
            <v>0</v>
          </cell>
          <cell r="M46">
            <v>0</v>
          </cell>
          <cell r="N46">
            <v>0</v>
          </cell>
        </row>
        <row r="47">
          <cell r="A47">
            <v>43</v>
          </cell>
          <cell r="B47">
            <v>0</v>
          </cell>
          <cell r="C47">
            <v>0</v>
          </cell>
          <cell r="D47">
            <v>0</v>
          </cell>
          <cell r="E47">
            <v>0</v>
          </cell>
          <cell r="F47">
            <v>0</v>
          </cell>
          <cell r="G47">
            <v>0</v>
          </cell>
          <cell r="H47">
            <v>0</v>
          </cell>
          <cell r="I47">
            <v>0</v>
          </cell>
          <cell r="J47">
            <v>0</v>
          </cell>
          <cell r="K47">
            <v>0</v>
          </cell>
          <cell r="L47">
            <v>0</v>
          </cell>
          <cell r="M47">
            <v>0</v>
          </cell>
          <cell r="N47">
            <v>0</v>
          </cell>
        </row>
        <row r="48">
          <cell r="A48">
            <v>44</v>
          </cell>
          <cell r="B48" t="str">
            <v>Uy Samon</v>
          </cell>
          <cell r="C48">
            <v>0</v>
          </cell>
          <cell r="D48">
            <v>0</v>
          </cell>
          <cell r="E48">
            <v>0</v>
          </cell>
          <cell r="F48">
            <v>0</v>
          </cell>
          <cell r="G48">
            <v>0</v>
          </cell>
          <cell r="H48">
            <v>0</v>
          </cell>
          <cell r="I48">
            <v>0</v>
          </cell>
          <cell r="J48">
            <v>0</v>
          </cell>
          <cell r="K48">
            <v>0</v>
          </cell>
          <cell r="L48">
            <v>0</v>
          </cell>
          <cell r="M48">
            <v>0</v>
          </cell>
          <cell r="N48">
            <v>0</v>
          </cell>
        </row>
        <row r="49">
          <cell r="A49">
            <v>45</v>
          </cell>
          <cell r="B49" t="str">
            <v>Yun Potim</v>
          </cell>
          <cell r="C49">
            <v>0</v>
          </cell>
          <cell r="D49">
            <v>0</v>
          </cell>
          <cell r="E49">
            <v>0</v>
          </cell>
          <cell r="F49">
            <v>0</v>
          </cell>
          <cell r="G49">
            <v>0</v>
          </cell>
          <cell r="H49">
            <v>0</v>
          </cell>
          <cell r="I49">
            <v>0</v>
          </cell>
          <cell r="J49">
            <v>0</v>
          </cell>
          <cell r="K49">
            <v>0</v>
          </cell>
          <cell r="L49">
            <v>0</v>
          </cell>
          <cell r="M49">
            <v>0</v>
          </cell>
          <cell r="N49">
            <v>0</v>
          </cell>
        </row>
        <row r="50">
          <cell r="A50">
            <v>46</v>
          </cell>
          <cell r="B50">
            <v>0</v>
          </cell>
          <cell r="C50">
            <v>0</v>
          </cell>
          <cell r="D50">
            <v>0</v>
          </cell>
          <cell r="E50">
            <v>0</v>
          </cell>
          <cell r="F50">
            <v>0</v>
          </cell>
          <cell r="G50">
            <v>0</v>
          </cell>
          <cell r="H50">
            <v>0</v>
          </cell>
          <cell r="I50">
            <v>0</v>
          </cell>
          <cell r="J50">
            <v>0</v>
          </cell>
          <cell r="K50">
            <v>0</v>
          </cell>
          <cell r="L50">
            <v>0</v>
          </cell>
          <cell r="M50">
            <v>0</v>
          </cell>
          <cell r="N50">
            <v>0</v>
          </cell>
        </row>
        <row r="51">
          <cell r="A51">
            <v>47</v>
          </cell>
          <cell r="B51" t="str">
            <v>Tran Hanh</v>
          </cell>
          <cell r="C51">
            <v>0</v>
          </cell>
          <cell r="D51">
            <v>0</v>
          </cell>
          <cell r="E51">
            <v>0</v>
          </cell>
          <cell r="F51">
            <v>0</v>
          </cell>
          <cell r="G51">
            <v>0</v>
          </cell>
          <cell r="H51">
            <v>0</v>
          </cell>
          <cell r="I51">
            <v>0</v>
          </cell>
          <cell r="J51">
            <v>0</v>
          </cell>
          <cell r="K51">
            <v>1</v>
          </cell>
          <cell r="L51">
            <v>1</v>
          </cell>
          <cell r="M51">
            <v>1</v>
          </cell>
          <cell r="N51">
            <v>1</v>
          </cell>
        </row>
        <row r="52">
          <cell r="A52">
            <v>48</v>
          </cell>
          <cell r="B52" t="str">
            <v xml:space="preserve">David FRUITMAN </v>
          </cell>
          <cell r="C52">
            <v>1</v>
          </cell>
          <cell r="D52">
            <v>1</v>
          </cell>
          <cell r="E52">
            <v>1</v>
          </cell>
          <cell r="F52">
            <v>1</v>
          </cell>
          <cell r="G52">
            <v>1</v>
          </cell>
          <cell r="H52">
            <v>1</v>
          </cell>
          <cell r="I52">
            <v>1</v>
          </cell>
          <cell r="J52">
            <v>1</v>
          </cell>
          <cell r="K52">
            <v>1</v>
          </cell>
          <cell r="L52">
            <v>1</v>
          </cell>
          <cell r="M52">
            <v>1</v>
          </cell>
          <cell r="N52">
            <v>1</v>
          </cell>
        </row>
        <row r="53">
          <cell r="A53">
            <v>49</v>
          </cell>
          <cell r="B53" t="str">
            <v>Chantal Beaubien</v>
          </cell>
          <cell r="C53">
            <v>0</v>
          </cell>
          <cell r="D53">
            <v>0</v>
          </cell>
          <cell r="E53">
            <v>0</v>
          </cell>
          <cell r="F53">
            <v>0</v>
          </cell>
          <cell r="G53">
            <v>0</v>
          </cell>
          <cell r="H53">
            <v>0</v>
          </cell>
          <cell r="I53">
            <v>0</v>
          </cell>
          <cell r="J53">
            <v>0</v>
          </cell>
          <cell r="K53">
            <v>0</v>
          </cell>
          <cell r="L53">
            <v>0</v>
          </cell>
          <cell r="M53">
            <v>0</v>
          </cell>
          <cell r="N53">
            <v>0</v>
          </cell>
        </row>
        <row r="54">
          <cell r="A54">
            <v>50</v>
          </cell>
          <cell r="B54">
            <v>0</v>
          </cell>
          <cell r="C54">
            <v>0</v>
          </cell>
          <cell r="D54">
            <v>0</v>
          </cell>
          <cell r="E54">
            <v>0</v>
          </cell>
          <cell r="F54">
            <v>0</v>
          </cell>
          <cell r="G54">
            <v>0</v>
          </cell>
          <cell r="H54">
            <v>0</v>
          </cell>
          <cell r="I54">
            <v>0</v>
          </cell>
          <cell r="J54">
            <v>0</v>
          </cell>
          <cell r="K54">
            <v>0</v>
          </cell>
          <cell r="L54">
            <v>0</v>
          </cell>
          <cell r="M54">
            <v>0</v>
          </cell>
          <cell r="N54">
            <v>0</v>
          </cell>
        </row>
        <row r="55">
          <cell r="A55">
            <v>51</v>
          </cell>
          <cell r="B55">
            <v>0</v>
          </cell>
          <cell r="C55">
            <v>1</v>
          </cell>
          <cell r="D55">
            <v>1</v>
          </cell>
          <cell r="E55">
            <v>1</v>
          </cell>
          <cell r="F55">
            <v>1</v>
          </cell>
          <cell r="G55">
            <v>1</v>
          </cell>
          <cell r="H55">
            <v>1</v>
          </cell>
          <cell r="I55">
            <v>1</v>
          </cell>
          <cell r="J55">
            <v>1</v>
          </cell>
          <cell r="K55">
            <v>1</v>
          </cell>
          <cell r="L55">
            <v>1</v>
          </cell>
          <cell r="M55">
            <v>1</v>
          </cell>
          <cell r="N55">
            <v>1</v>
          </cell>
        </row>
        <row r="56">
          <cell r="A56">
            <v>52</v>
          </cell>
          <cell r="B56" t="str">
            <v>Irene Madigan</v>
          </cell>
          <cell r="C56">
            <v>0</v>
          </cell>
          <cell r="D56">
            <v>0</v>
          </cell>
          <cell r="E56">
            <v>0</v>
          </cell>
          <cell r="F56">
            <v>0</v>
          </cell>
          <cell r="G56">
            <v>0</v>
          </cell>
          <cell r="H56">
            <v>0</v>
          </cell>
          <cell r="I56">
            <v>0</v>
          </cell>
          <cell r="J56">
            <v>0</v>
          </cell>
          <cell r="K56">
            <v>0</v>
          </cell>
          <cell r="L56">
            <v>0</v>
          </cell>
          <cell r="M56">
            <v>0</v>
          </cell>
          <cell r="N56">
            <v>0</v>
          </cell>
        </row>
        <row r="57">
          <cell r="A57">
            <v>53</v>
          </cell>
          <cell r="B57" t="str">
            <v>Koy Chenda</v>
          </cell>
          <cell r="C57">
            <v>0</v>
          </cell>
          <cell r="D57">
            <v>0</v>
          </cell>
          <cell r="E57">
            <v>0</v>
          </cell>
          <cell r="F57">
            <v>0</v>
          </cell>
          <cell r="G57">
            <v>0</v>
          </cell>
          <cell r="H57">
            <v>0</v>
          </cell>
          <cell r="I57">
            <v>0</v>
          </cell>
          <cell r="J57">
            <v>0</v>
          </cell>
          <cell r="K57">
            <v>0</v>
          </cell>
          <cell r="L57">
            <v>0</v>
          </cell>
          <cell r="M57">
            <v>0</v>
          </cell>
          <cell r="N57">
            <v>0</v>
          </cell>
        </row>
        <row r="58">
          <cell r="A58">
            <v>54</v>
          </cell>
          <cell r="B58">
            <v>0</v>
          </cell>
          <cell r="C58">
            <v>0</v>
          </cell>
          <cell r="D58">
            <v>0</v>
          </cell>
          <cell r="E58">
            <v>0</v>
          </cell>
          <cell r="F58">
            <v>0</v>
          </cell>
          <cell r="G58">
            <v>0</v>
          </cell>
          <cell r="H58">
            <v>0</v>
          </cell>
          <cell r="I58">
            <v>0</v>
          </cell>
          <cell r="J58">
            <v>0</v>
          </cell>
          <cell r="K58">
            <v>0</v>
          </cell>
          <cell r="L58">
            <v>0</v>
          </cell>
          <cell r="M58">
            <v>0</v>
          </cell>
          <cell r="N58">
            <v>0</v>
          </cell>
        </row>
        <row r="59">
          <cell r="A59">
            <v>55</v>
          </cell>
          <cell r="B59" t="str">
            <v xml:space="preserve">Edwin Vanderbruggen </v>
          </cell>
          <cell r="C59">
            <v>0</v>
          </cell>
          <cell r="D59">
            <v>0</v>
          </cell>
          <cell r="E59">
            <v>0</v>
          </cell>
          <cell r="F59">
            <v>0</v>
          </cell>
          <cell r="G59">
            <v>0</v>
          </cell>
          <cell r="H59">
            <v>0</v>
          </cell>
          <cell r="I59">
            <v>0</v>
          </cell>
          <cell r="J59">
            <v>0</v>
          </cell>
          <cell r="K59">
            <v>0</v>
          </cell>
          <cell r="L59">
            <v>0</v>
          </cell>
          <cell r="M59">
            <v>0</v>
          </cell>
          <cell r="N59">
            <v>0</v>
          </cell>
        </row>
        <row r="60">
          <cell r="A60">
            <v>56</v>
          </cell>
          <cell r="B60">
            <v>0</v>
          </cell>
          <cell r="C60">
            <v>0</v>
          </cell>
          <cell r="D60">
            <v>0</v>
          </cell>
          <cell r="E60">
            <v>0</v>
          </cell>
          <cell r="F60">
            <v>0</v>
          </cell>
          <cell r="G60">
            <v>0</v>
          </cell>
          <cell r="H60">
            <v>0</v>
          </cell>
          <cell r="I60">
            <v>0</v>
          </cell>
          <cell r="J60">
            <v>0</v>
          </cell>
          <cell r="K60">
            <v>0</v>
          </cell>
          <cell r="L60">
            <v>0</v>
          </cell>
          <cell r="M60">
            <v>0</v>
          </cell>
          <cell r="N60">
            <v>0</v>
          </cell>
        </row>
        <row r="61">
          <cell r="A61">
            <v>57</v>
          </cell>
          <cell r="B61" t="str">
            <v>Srun Sokha</v>
          </cell>
          <cell r="C61">
            <v>0</v>
          </cell>
          <cell r="D61">
            <v>0</v>
          </cell>
          <cell r="E61">
            <v>0</v>
          </cell>
          <cell r="F61">
            <v>0</v>
          </cell>
          <cell r="G61">
            <v>0</v>
          </cell>
          <cell r="H61">
            <v>0</v>
          </cell>
          <cell r="I61">
            <v>0</v>
          </cell>
          <cell r="J61">
            <v>0</v>
          </cell>
          <cell r="K61">
            <v>0</v>
          </cell>
          <cell r="L61">
            <v>0</v>
          </cell>
          <cell r="M61">
            <v>0</v>
          </cell>
          <cell r="N61">
            <v>0</v>
          </cell>
        </row>
        <row r="62">
          <cell r="A62">
            <v>58</v>
          </cell>
          <cell r="B62" t="str">
            <v>Un Sinath</v>
          </cell>
          <cell r="C62">
            <v>0</v>
          </cell>
          <cell r="D62">
            <v>0</v>
          </cell>
          <cell r="E62">
            <v>0</v>
          </cell>
          <cell r="F62">
            <v>0</v>
          </cell>
          <cell r="G62">
            <v>0</v>
          </cell>
          <cell r="H62">
            <v>0</v>
          </cell>
          <cell r="I62">
            <v>0</v>
          </cell>
          <cell r="J62">
            <v>0</v>
          </cell>
          <cell r="K62">
            <v>0</v>
          </cell>
          <cell r="L62">
            <v>0</v>
          </cell>
          <cell r="M62">
            <v>0</v>
          </cell>
          <cell r="N62">
            <v>0</v>
          </cell>
        </row>
      </sheetData>
      <sheetData sheetId="6"/>
      <sheetData sheetId="7">
        <row r="5">
          <cell r="A5">
            <v>1</v>
          </cell>
          <cell r="B5" t="str">
            <v>Brennan Coleman</v>
          </cell>
          <cell r="C5">
            <v>8000</v>
          </cell>
          <cell r="D5">
            <v>8000</v>
          </cell>
          <cell r="E5">
            <v>7272.727272727273</v>
          </cell>
          <cell r="F5">
            <v>0</v>
          </cell>
          <cell r="G5">
            <v>0</v>
          </cell>
          <cell r="H5">
            <v>0</v>
          </cell>
          <cell r="I5">
            <v>0</v>
          </cell>
          <cell r="J5">
            <v>0</v>
          </cell>
          <cell r="K5">
            <v>0</v>
          </cell>
          <cell r="L5">
            <v>0</v>
          </cell>
          <cell r="M5">
            <v>0</v>
          </cell>
          <cell r="N5">
            <v>0</v>
          </cell>
        </row>
        <row r="6">
          <cell r="A6">
            <v>2</v>
          </cell>
          <cell r="B6" t="str">
            <v>Alexander May</v>
          </cell>
          <cell r="D6">
            <v>6042</v>
          </cell>
          <cell r="E6">
            <v>12615.07</v>
          </cell>
          <cell r="F6">
            <v>12084</v>
          </cell>
          <cell r="G6">
            <v>12084</v>
          </cell>
          <cell r="H6">
            <v>12084</v>
          </cell>
          <cell r="I6">
            <v>12084</v>
          </cell>
          <cell r="J6">
            <v>12084</v>
          </cell>
          <cell r="K6">
            <v>12084</v>
          </cell>
        </row>
        <row r="7">
          <cell r="A7">
            <v>3</v>
          </cell>
          <cell r="B7" t="str">
            <v>EHGL</v>
          </cell>
          <cell r="C7">
            <v>12664.73</v>
          </cell>
          <cell r="D7">
            <v>12664.73</v>
          </cell>
          <cell r="E7">
            <v>12664.73</v>
          </cell>
          <cell r="F7">
            <v>12664.73</v>
          </cell>
          <cell r="G7">
            <v>650.61000000000013</v>
          </cell>
          <cell r="H7">
            <v>1527.1100000000001</v>
          </cell>
          <cell r="I7">
            <v>0</v>
          </cell>
          <cell r="J7">
            <v>0</v>
          </cell>
          <cell r="K7">
            <v>13725</v>
          </cell>
        </row>
        <row r="8">
          <cell r="A8">
            <v>4</v>
          </cell>
        </row>
        <row r="9">
          <cell r="A9">
            <v>5</v>
          </cell>
          <cell r="B9" t="str">
            <v>Dun Kosal</v>
          </cell>
          <cell r="C9">
            <v>1100</v>
          </cell>
          <cell r="D9">
            <v>1100</v>
          </cell>
          <cell r="E9">
            <v>1100</v>
          </cell>
          <cell r="F9">
            <v>1100</v>
          </cell>
          <cell r="G9">
            <v>1100</v>
          </cell>
          <cell r="H9">
            <v>1100</v>
          </cell>
          <cell r="I9">
            <v>1100</v>
          </cell>
          <cell r="J9">
            <v>1100</v>
          </cell>
          <cell r="K9">
            <v>1100</v>
          </cell>
        </row>
        <row r="10">
          <cell r="A10">
            <v>6</v>
          </cell>
          <cell r="B10" t="str">
            <v>Eb Houy</v>
          </cell>
          <cell r="C10">
            <v>170</v>
          </cell>
          <cell r="D10">
            <v>170</v>
          </cell>
          <cell r="E10">
            <v>170</v>
          </cell>
          <cell r="F10">
            <v>170</v>
          </cell>
          <cell r="G10">
            <v>170</v>
          </cell>
          <cell r="H10">
            <v>170</v>
          </cell>
          <cell r="I10">
            <v>170</v>
          </cell>
          <cell r="J10">
            <v>170</v>
          </cell>
          <cell r="K10">
            <v>170</v>
          </cell>
        </row>
        <row r="11">
          <cell r="A11">
            <v>7</v>
          </cell>
          <cell r="B11">
            <v>0</v>
          </cell>
        </row>
        <row r="12">
          <cell r="A12">
            <v>8</v>
          </cell>
          <cell r="B12">
            <v>0</v>
          </cell>
        </row>
        <row r="13">
          <cell r="A13">
            <v>9</v>
          </cell>
          <cell r="B13" t="str">
            <v>Hang Sina</v>
          </cell>
          <cell r="C13">
            <v>170</v>
          </cell>
          <cell r="D13">
            <v>170</v>
          </cell>
          <cell r="E13">
            <v>170</v>
          </cell>
          <cell r="F13">
            <v>170</v>
          </cell>
          <cell r="G13">
            <v>170</v>
          </cell>
          <cell r="H13">
            <v>170</v>
          </cell>
          <cell r="I13">
            <v>170</v>
          </cell>
          <cell r="J13">
            <v>170</v>
          </cell>
          <cell r="K13">
            <v>170</v>
          </cell>
        </row>
        <row r="14">
          <cell r="A14">
            <v>10</v>
          </cell>
          <cell r="B14" t="str">
            <v xml:space="preserve">Hang Vannak </v>
          </cell>
          <cell r="C14">
            <v>770</v>
          </cell>
          <cell r="D14">
            <v>770</v>
          </cell>
          <cell r="E14">
            <v>770</v>
          </cell>
          <cell r="F14">
            <v>770</v>
          </cell>
          <cell r="G14">
            <v>770</v>
          </cell>
          <cell r="H14">
            <v>770</v>
          </cell>
          <cell r="I14">
            <v>770</v>
          </cell>
          <cell r="J14">
            <v>770</v>
          </cell>
          <cell r="K14">
            <v>770</v>
          </cell>
        </row>
        <row r="15">
          <cell r="A15">
            <v>11</v>
          </cell>
          <cell r="B15">
            <v>0</v>
          </cell>
        </row>
        <row r="16">
          <cell r="A16">
            <v>12</v>
          </cell>
          <cell r="B16">
            <v>0</v>
          </cell>
        </row>
        <row r="17">
          <cell r="A17">
            <v>13</v>
          </cell>
          <cell r="B17" t="str">
            <v>Heng Chhorvortey</v>
          </cell>
          <cell r="C17">
            <v>1100</v>
          </cell>
          <cell r="D17">
            <v>1100</v>
          </cell>
          <cell r="E17">
            <v>1100</v>
          </cell>
          <cell r="F17">
            <v>1100</v>
          </cell>
          <cell r="G17">
            <v>1100</v>
          </cell>
          <cell r="H17">
            <v>1100</v>
          </cell>
          <cell r="I17">
            <v>1100</v>
          </cell>
          <cell r="J17">
            <v>419.04761904761904</v>
          </cell>
        </row>
        <row r="18">
          <cell r="A18">
            <v>14</v>
          </cell>
          <cell r="B18">
            <v>0</v>
          </cell>
        </row>
        <row r="19">
          <cell r="A19">
            <v>15</v>
          </cell>
          <cell r="B19" t="str">
            <v>Jamie Cummiskey</v>
          </cell>
          <cell r="C19">
            <v>4937.5</v>
          </cell>
          <cell r="D19">
            <v>4937.5</v>
          </cell>
          <cell r="E19">
            <v>15244.32</v>
          </cell>
        </row>
        <row r="20">
          <cell r="A20">
            <v>16</v>
          </cell>
          <cell r="B20" t="str">
            <v>Kim Bunnavuth</v>
          </cell>
          <cell r="E20">
            <v>2600</v>
          </cell>
          <cell r="F20">
            <v>2600</v>
          </cell>
          <cell r="G20">
            <v>2600</v>
          </cell>
          <cell r="H20">
            <v>2600</v>
          </cell>
          <cell r="I20">
            <v>2600</v>
          </cell>
          <cell r="J20">
            <v>2600</v>
          </cell>
          <cell r="K20">
            <v>2600</v>
          </cell>
        </row>
        <row r="21">
          <cell r="A21">
            <v>17</v>
          </cell>
          <cell r="B21" t="str">
            <v>Kim Serey Sokha</v>
          </cell>
          <cell r="C21">
            <v>395</v>
          </cell>
          <cell r="D21">
            <v>395</v>
          </cell>
          <cell r="E21">
            <v>395</v>
          </cell>
          <cell r="F21">
            <v>395</v>
          </cell>
          <cell r="G21">
            <v>395</v>
          </cell>
          <cell r="H21">
            <v>395</v>
          </cell>
          <cell r="I21">
            <v>395</v>
          </cell>
          <cell r="J21">
            <v>395</v>
          </cell>
          <cell r="K21">
            <v>395</v>
          </cell>
        </row>
        <row r="22">
          <cell r="A22">
            <v>18</v>
          </cell>
          <cell r="B22" t="str">
            <v xml:space="preserve">Kong Chhung </v>
          </cell>
          <cell r="C22">
            <v>2941.18</v>
          </cell>
          <cell r="D22">
            <v>2941.18</v>
          </cell>
          <cell r="E22">
            <v>2941.18</v>
          </cell>
          <cell r="F22">
            <v>2941.18</v>
          </cell>
          <cell r="G22">
            <v>2941.18</v>
          </cell>
          <cell r="H22">
            <v>2941.18</v>
          </cell>
          <cell r="I22">
            <v>2941.18</v>
          </cell>
          <cell r="J22">
            <v>2941.18</v>
          </cell>
          <cell r="K22">
            <v>2941.18</v>
          </cell>
        </row>
        <row r="23">
          <cell r="A23">
            <v>19</v>
          </cell>
          <cell r="B23" t="str">
            <v>Kong Putheavy</v>
          </cell>
          <cell r="C23">
            <v>370</v>
          </cell>
          <cell r="D23">
            <v>370</v>
          </cell>
          <cell r="E23">
            <v>370</v>
          </cell>
          <cell r="F23">
            <v>370</v>
          </cell>
          <cell r="G23">
            <v>370</v>
          </cell>
          <cell r="H23">
            <v>370</v>
          </cell>
          <cell r="I23">
            <v>370</v>
          </cell>
          <cell r="J23">
            <v>370</v>
          </cell>
          <cell r="K23">
            <v>370</v>
          </cell>
        </row>
        <row r="24">
          <cell r="A24">
            <v>20</v>
          </cell>
          <cell r="B24">
            <v>0</v>
          </cell>
        </row>
        <row r="25">
          <cell r="A25">
            <v>21</v>
          </cell>
          <cell r="B25" t="str">
            <v>Kao Vannarith</v>
          </cell>
          <cell r="C25">
            <v>210</v>
          </cell>
          <cell r="D25">
            <v>210</v>
          </cell>
          <cell r="E25">
            <v>210</v>
          </cell>
          <cell r="F25">
            <v>210</v>
          </cell>
          <cell r="G25">
            <v>130</v>
          </cell>
          <cell r="H25">
            <v>0</v>
          </cell>
          <cell r="I25">
            <v>0</v>
          </cell>
          <cell r="J25">
            <v>0</v>
          </cell>
          <cell r="K25">
            <v>0</v>
          </cell>
          <cell r="L25">
            <v>0</v>
          </cell>
          <cell r="M25">
            <v>0</v>
          </cell>
          <cell r="N25">
            <v>0</v>
          </cell>
        </row>
        <row r="26">
          <cell r="A26">
            <v>22</v>
          </cell>
          <cell r="B26" t="str">
            <v>Ly Sambo</v>
          </cell>
          <cell r="C26">
            <v>2750</v>
          </cell>
          <cell r="D26">
            <v>2750</v>
          </cell>
          <cell r="E26">
            <v>2750</v>
          </cell>
          <cell r="F26">
            <v>2750</v>
          </cell>
          <cell r="G26">
            <v>2750</v>
          </cell>
          <cell r="H26">
            <v>2750</v>
          </cell>
          <cell r="I26">
            <v>2750</v>
          </cell>
          <cell r="J26">
            <v>2750</v>
          </cell>
          <cell r="K26">
            <v>2750</v>
          </cell>
        </row>
        <row r="27">
          <cell r="A27">
            <v>23</v>
          </cell>
          <cell r="B27" t="str">
            <v>Ly Tay Seng</v>
          </cell>
          <cell r="C27">
            <v>1200</v>
          </cell>
          <cell r="D27">
            <v>1200</v>
          </cell>
          <cell r="E27">
            <v>1200</v>
          </cell>
          <cell r="F27">
            <v>1200</v>
          </cell>
          <cell r="G27">
            <v>1200</v>
          </cell>
          <cell r="H27">
            <v>1200</v>
          </cell>
        </row>
        <row r="28">
          <cell r="A28">
            <v>24</v>
          </cell>
          <cell r="B28" t="str">
            <v>Mao Samvutheary</v>
          </cell>
          <cell r="C28">
            <v>3300</v>
          </cell>
          <cell r="D28">
            <v>3300</v>
          </cell>
          <cell r="E28">
            <v>3300</v>
          </cell>
          <cell r="F28">
            <v>3300</v>
          </cell>
          <cell r="G28">
            <v>3300</v>
          </cell>
          <cell r="H28">
            <v>3300</v>
          </cell>
          <cell r="I28">
            <v>3300</v>
          </cell>
          <cell r="J28">
            <v>3300</v>
          </cell>
          <cell r="K28">
            <v>3300</v>
          </cell>
        </row>
        <row r="29">
          <cell r="A29">
            <v>25</v>
          </cell>
          <cell r="B29" t="str">
            <v>Martin Desautels</v>
          </cell>
          <cell r="C29">
            <v>29166.67</v>
          </cell>
          <cell r="D29">
            <v>29166.67</v>
          </cell>
          <cell r="E29">
            <v>29166.67</v>
          </cell>
          <cell r="F29">
            <v>29166.67</v>
          </cell>
          <cell r="G29">
            <v>45035.3</v>
          </cell>
          <cell r="H29">
            <v>29905.3</v>
          </cell>
          <cell r="I29">
            <v>29905.3</v>
          </cell>
          <cell r="J29">
            <v>29905.3</v>
          </cell>
          <cell r="K29">
            <v>29905.3</v>
          </cell>
          <cell r="L29">
            <v>29905.3</v>
          </cell>
          <cell r="M29">
            <v>29905.3</v>
          </cell>
          <cell r="N29">
            <v>29905.3</v>
          </cell>
        </row>
        <row r="30">
          <cell r="A30">
            <v>26</v>
          </cell>
          <cell r="B30">
            <v>0</v>
          </cell>
        </row>
        <row r="31">
          <cell r="A31">
            <v>27</v>
          </cell>
          <cell r="B31" t="str">
            <v xml:space="preserve">Me Kim Thuon </v>
          </cell>
          <cell r="C31">
            <v>245</v>
          </cell>
          <cell r="D31">
            <v>245</v>
          </cell>
          <cell r="E31">
            <v>245</v>
          </cell>
          <cell r="F31">
            <v>245</v>
          </cell>
          <cell r="G31">
            <v>245</v>
          </cell>
          <cell r="H31">
            <v>245</v>
          </cell>
          <cell r="I31">
            <v>245</v>
          </cell>
          <cell r="J31">
            <v>245</v>
          </cell>
          <cell r="K31">
            <v>245</v>
          </cell>
        </row>
        <row r="32">
          <cell r="A32">
            <v>28</v>
          </cell>
          <cell r="B32">
            <v>0</v>
          </cell>
        </row>
        <row r="33">
          <cell r="A33">
            <v>29</v>
          </cell>
          <cell r="B33" t="str">
            <v>Minh Samoeun</v>
          </cell>
          <cell r="C33">
            <v>210</v>
          </cell>
          <cell r="D33">
            <v>210</v>
          </cell>
          <cell r="E33">
            <v>210</v>
          </cell>
          <cell r="F33">
            <v>210</v>
          </cell>
          <cell r="G33">
            <v>210</v>
          </cell>
          <cell r="H33">
            <v>210</v>
          </cell>
          <cell r="I33">
            <v>210</v>
          </cell>
          <cell r="J33">
            <v>210</v>
          </cell>
          <cell r="K33">
            <v>210</v>
          </cell>
        </row>
        <row r="34">
          <cell r="A34">
            <v>30</v>
          </cell>
          <cell r="B34" t="str">
            <v>Mom Bunna</v>
          </cell>
          <cell r="C34">
            <v>170</v>
          </cell>
          <cell r="D34">
            <v>170</v>
          </cell>
          <cell r="E34">
            <v>170</v>
          </cell>
          <cell r="F34">
            <v>170</v>
          </cell>
          <cell r="G34">
            <v>170</v>
          </cell>
          <cell r="H34">
            <v>170</v>
          </cell>
          <cell r="I34">
            <v>170</v>
          </cell>
          <cell r="J34">
            <v>170</v>
          </cell>
          <cell r="K34">
            <v>170</v>
          </cell>
        </row>
        <row r="35">
          <cell r="A35">
            <v>31</v>
          </cell>
          <cell r="B35">
            <v>0</v>
          </cell>
        </row>
        <row r="36">
          <cell r="A36">
            <v>32</v>
          </cell>
          <cell r="B36" t="str">
            <v>Nhem Phal</v>
          </cell>
          <cell r="C36">
            <v>195</v>
          </cell>
          <cell r="D36">
            <v>195</v>
          </cell>
          <cell r="E36">
            <v>195</v>
          </cell>
          <cell r="F36">
            <v>195</v>
          </cell>
          <cell r="G36">
            <v>195</v>
          </cell>
          <cell r="H36">
            <v>195</v>
          </cell>
          <cell r="I36">
            <v>195</v>
          </cell>
          <cell r="J36">
            <v>195</v>
          </cell>
          <cell r="K36">
            <v>195</v>
          </cell>
        </row>
        <row r="37">
          <cell r="A37">
            <v>33</v>
          </cell>
          <cell r="B37" t="str">
            <v>Chea Kanitha</v>
          </cell>
          <cell r="C37">
            <v>395</v>
          </cell>
          <cell r="D37">
            <v>395</v>
          </cell>
          <cell r="E37">
            <v>395</v>
          </cell>
          <cell r="F37">
            <v>395</v>
          </cell>
          <cell r="G37">
            <v>395</v>
          </cell>
          <cell r="H37">
            <v>395</v>
          </cell>
          <cell r="I37">
            <v>395</v>
          </cell>
          <cell r="J37">
            <v>395</v>
          </cell>
          <cell r="K37">
            <v>395</v>
          </cell>
        </row>
        <row r="38">
          <cell r="A38">
            <v>34</v>
          </cell>
          <cell r="B38" t="str">
            <v>Patrick Pilon</v>
          </cell>
          <cell r="C38">
            <v>6000</v>
          </cell>
          <cell r="D38">
            <v>6000</v>
          </cell>
          <cell r="E38">
            <v>6000</v>
          </cell>
          <cell r="F38">
            <v>6000</v>
          </cell>
          <cell r="G38">
            <v>6000</v>
          </cell>
          <cell r="H38">
            <v>6000</v>
          </cell>
          <cell r="I38">
            <v>6000</v>
          </cell>
          <cell r="J38">
            <v>6000</v>
          </cell>
          <cell r="K38">
            <v>6000</v>
          </cell>
        </row>
        <row r="39">
          <cell r="A39">
            <v>35</v>
          </cell>
          <cell r="B39" t="str">
            <v>Peou Sopheak</v>
          </cell>
          <cell r="C39">
            <v>260</v>
          </cell>
          <cell r="D39">
            <v>260</v>
          </cell>
          <cell r="E39">
            <v>260</v>
          </cell>
          <cell r="F39">
            <v>260</v>
          </cell>
          <cell r="G39">
            <v>260</v>
          </cell>
          <cell r="H39">
            <v>260</v>
          </cell>
          <cell r="I39">
            <v>260</v>
          </cell>
          <cell r="J39">
            <v>260</v>
          </cell>
          <cell r="K39">
            <v>260</v>
          </cell>
        </row>
        <row r="40">
          <cell r="A40">
            <v>36</v>
          </cell>
          <cell r="B40" t="str">
            <v>Poynee</v>
          </cell>
          <cell r="C40">
            <v>185</v>
          </cell>
          <cell r="D40">
            <v>185</v>
          </cell>
          <cell r="E40">
            <v>185</v>
          </cell>
          <cell r="F40">
            <v>185</v>
          </cell>
          <cell r="G40">
            <v>185</v>
          </cell>
          <cell r="H40">
            <v>185</v>
          </cell>
          <cell r="I40">
            <v>185</v>
          </cell>
          <cell r="J40">
            <v>185</v>
          </cell>
          <cell r="K40">
            <v>185</v>
          </cell>
        </row>
        <row r="41">
          <cell r="A41">
            <v>37</v>
          </cell>
          <cell r="B41" t="str">
            <v>Prak Sihakriddh</v>
          </cell>
        </row>
        <row r="42">
          <cell r="A42">
            <v>38</v>
          </cell>
          <cell r="B42" t="str">
            <v>Rupert Haw</v>
          </cell>
        </row>
        <row r="43">
          <cell r="A43">
            <v>39</v>
          </cell>
          <cell r="B43" t="str">
            <v>Sar Vathana</v>
          </cell>
          <cell r="C43">
            <v>2200</v>
          </cell>
          <cell r="D43">
            <v>2200</v>
          </cell>
          <cell r="E43">
            <v>2200</v>
          </cell>
          <cell r="F43">
            <v>2200</v>
          </cell>
          <cell r="G43">
            <v>2200</v>
          </cell>
          <cell r="H43">
            <v>2200</v>
          </cell>
          <cell r="I43">
            <v>2200</v>
          </cell>
          <cell r="J43">
            <v>2200</v>
          </cell>
          <cell r="K43">
            <v>2200</v>
          </cell>
        </row>
        <row r="44">
          <cell r="A44">
            <v>40</v>
          </cell>
          <cell r="B44" t="str">
            <v>Sek Rany</v>
          </cell>
          <cell r="C44">
            <v>470</v>
          </cell>
          <cell r="D44">
            <v>470</v>
          </cell>
          <cell r="E44">
            <v>470</v>
          </cell>
          <cell r="F44">
            <v>470</v>
          </cell>
          <cell r="G44">
            <v>470</v>
          </cell>
          <cell r="H44">
            <v>470</v>
          </cell>
          <cell r="I44">
            <v>470</v>
          </cell>
          <cell r="J44">
            <v>470</v>
          </cell>
          <cell r="K44">
            <v>470</v>
          </cell>
        </row>
        <row r="45">
          <cell r="A45">
            <v>41</v>
          </cell>
          <cell r="B45" t="str">
            <v>Sin Sivutha</v>
          </cell>
          <cell r="C45">
            <v>170</v>
          </cell>
          <cell r="D45">
            <v>170</v>
          </cell>
          <cell r="E45">
            <v>170</v>
          </cell>
          <cell r="F45">
            <v>170</v>
          </cell>
          <cell r="G45">
            <v>170</v>
          </cell>
          <cell r="H45">
            <v>170</v>
          </cell>
          <cell r="I45">
            <v>170</v>
          </cell>
          <cell r="J45">
            <v>170</v>
          </cell>
          <cell r="K45">
            <v>170</v>
          </cell>
        </row>
        <row r="46">
          <cell r="A46">
            <v>42</v>
          </cell>
          <cell r="B46" t="str">
            <v>Sok Sonida</v>
          </cell>
          <cell r="C46">
            <v>440</v>
          </cell>
          <cell r="D46">
            <v>440</v>
          </cell>
          <cell r="E46">
            <v>440</v>
          </cell>
          <cell r="F46">
            <v>440</v>
          </cell>
          <cell r="G46">
            <v>440</v>
          </cell>
          <cell r="H46">
            <v>440</v>
          </cell>
          <cell r="I46">
            <v>440</v>
          </cell>
          <cell r="J46">
            <v>440</v>
          </cell>
          <cell r="K46">
            <v>440</v>
          </cell>
        </row>
        <row r="47">
          <cell r="A47">
            <v>43</v>
          </cell>
          <cell r="B47">
            <v>0</v>
          </cell>
        </row>
        <row r="48">
          <cell r="A48">
            <v>44</v>
          </cell>
          <cell r="B48" t="str">
            <v>Uy Samon</v>
          </cell>
          <cell r="C48">
            <v>495</v>
          </cell>
          <cell r="D48">
            <v>495</v>
          </cell>
          <cell r="E48">
            <v>495</v>
          </cell>
          <cell r="F48">
            <v>495</v>
          </cell>
          <cell r="G48">
            <v>495</v>
          </cell>
          <cell r="H48">
            <v>495</v>
          </cell>
          <cell r="I48">
            <v>495</v>
          </cell>
          <cell r="J48">
            <v>495</v>
          </cell>
          <cell r="K48">
            <v>495</v>
          </cell>
        </row>
        <row r="49">
          <cell r="A49">
            <v>45</v>
          </cell>
          <cell r="B49" t="str">
            <v>Yun Potim</v>
          </cell>
          <cell r="C49">
            <v>1980</v>
          </cell>
          <cell r="D49">
            <v>1980</v>
          </cell>
          <cell r="E49">
            <v>1980</v>
          </cell>
          <cell r="F49">
            <v>1980</v>
          </cell>
          <cell r="G49">
            <v>1980</v>
          </cell>
          <cell r="H49">
            <v>1980</v>
          </cell>
          <cell r="I49">
            <v>1980</v>
          </cell>
          <cell r="J49">
            <v>1980</v>
          </cell>
          <cell r="K49">
            <v>1980</v>
          </cell>
        </row>
        <row r="50">
          <cell r="A50">
            <v>46</v>
          </cell>
          <cell r="B50">
            <v>0</v>
          </cell>
        </row>
        <row r="51">
          <cell r="A51">
            <v>47</v>
          </cell>
          <cell r="B51" t="str">
            <v>Tran Hanh</v>
          </cell>
        </row>
        <row r="52">
          <cell r="A52">
            <v>48</v>
          </cell>
          <cell r="B52" t="str">
            <v xml:space="preserve">David FRUITMAN </v>
          </cell>
        </row>
        <row r="53">
          <cell r="A53">
            <v>49</v>
          </cell>
          <cell r="B53" t="str">
            <v>Chantal Beaubien</v>
          </cell>
          <cell r="C53">
            <v>5000</v>
          </cell>
          <cell r="D53">
            <v>5000</v>
          </cell>
          <cell r="E53">
            <v>5000</v>
          </cell>
          <cell r="F53">
            <v>5000</v>
          </cell>
          <cell r="G53">
            <v>5000</v>
          </cell>
          <cell r="H53">
            <v>5000</v>
          </cell>
          <cell r="I53">
            <v>1521.74</v>
          </cell>
          <cell r="K53">
            <v>5000</v>
          </cell>
        </row>
        <row r="54">
          <cell r="A54">
            <v>50</v>
          </cell>
          <cell r="B54">
            <v>0</v>
          </cell>
        </row>
        <row r="55">
          <cell r="A55">
            <v>51</v>
          </cell>
          <cell r="B55">
            <v>0</v>
          </cell>
        </row>
        <row r="56">
          <cell r="A56">
            <v>52</v>
          </cell>
          <cell r="B56" t="str">
            <v>Irene Madigan</v>
          </cell>
          <cell r="C56">
            <v>3000</v>
          </cell>
          <cell r="D56">
            <v>3000</v>
          </cell>
          <cell r="E56">
            <v>3000</v>
          </cell>
          <cell r="F56">
            <v>3000</v>
          </cell>
          <cell r="G56">
            <v>3000</v>
          </cell>
          <cell r="H56">
            <v>3000</v>
          </cell>
          <cell r="I56">
            <v>3000</v>
          </cell>
          <cell r="J56">
            <v>3000</v>
          </cell>
          <cell r="K56">
            <v>3000</v>
          </cell>
        </row>
        <row r="57">
          <cell r="A57">
            <v>53</v>
          </cell>
          <cell r="B57" t="str">
            <v>Koy Chenda</v>
          </cell>
          <cell r="C57">
            <v>220</v>
          </cell>
          <cell r="D57">
            <v>220</v>
          </cell>
          <cell r="E57">
            <v>220</v>
          </cell>
          <cell r="F57">
            <v>220</v>
          </cell>
          <cell r="G57">
            <v>220</v>
          </cell>
          <cell r="H57">
            <v>220</v>
          </cell>
          <cell r="I57">
            <v>220</v>
          </cell>
          <cell r="J57">
            <v>220</v>
          </cell>
          <cell r="K57">
            <v>220</v>
          </cell>
        </row>
        <row r="58">
          <cell r="A58">
            <v>54</v>
          </cell>
          <cell r="B58">
            <v>0</v>
          </cell>
        </row>
        <row r="59">
          <cell r="A59">
            <v>55</v>
          </cell>
          <cell r="B59" t="str">
            <v xml:space="preserve">Edwin Vanderbruggen </v>
          </cell>
          <cell r="C59">
            <v>16666.669999999998</v>
          </cell>
          <cell r="D59">
            <v>16666.669999999998</v>
          </cell>
          <cell r="E59">
            <v>16666.669999999998</v>
          </cell>
          <cell r="F59">
            <v>16666.669999999998</v>
          </cell>
          <cell r="G59">
            <v>16666.669999999998</v>
          </cell>
          <cell r="H59">
            <v>16666.669999999998</v>
          </cell>
          <cell r="I59">
            <v>16666.669999999998</v>
          </cell>
          <cell r="J59">
            <v>16666.669999999998</v>
          </cell>
          <cell r="K59">
            <v>16666.669999999998</v>
          </cell>
          <cell r="L59">
            <v>17500</v>
          </cell>
          <cell r="M59">
            <v>17500</v>
          </cell>
          <cell r="N59">
            <v>17500</v>
          </cell>
        </row>
        <row r="60">
          <cell r="A60">
            <v>56</v>
          </cell>
          <cell r="B60">
            <v>0</v>
          </cell>
        </row>
        <row r="61">
          <cell r="A61">
            <v>57</v>
          </cell>
          <cell r="B61" t="str">
            <v>Srun Sokha</v>
          </cell>
          <cell r="C61">
            <v>560</v>
          </cell>
          <cell r="D61">
            <v>560</v>
          </cell>
          <cell r="E61">
            <v>560</v>
          </cell>
          <cell r="F61">
            <v>560</v>
          </cell>
          <cell r="G61">
            <v>560</v>
          </cell>
          <cell r="H61">
            <v>560</v>
          </cell>
          <cell r="I61">
            <v>560</v>
          </cell>
          <cell r="J61">
            <v>560</v>
          </cell>
          <cell r="K61">
            <v>560</v>
          </cell>
        </row>
        <row r="62">
          <cell r="A62">
            <v>58</v>
          </cell>
          <cell r="B62" t="str">
            <v>Un Sinath</v>
          </cell>
          <cell r="C62">
            <v>1100</v>
          </cell>
          <cell r="D62">
            <v>1100</v>
          </cell>
          <cell r="E62">
            <v>1100</v>
          </cell>
          <cell r="F62">
            <v>1100</v>
          </cell>
          <cell r="G62">
            <v>1100</v>
          </cell>
          <cell r="H62">
            <v>1100</v>
          </cell>
          <cell r="I62">
            <v>1100</v>
          </cell>
          <cell r="J62">
            <v>1100</v>
          </cell>
          <cell r="K62">
            <v>1100</v>
          </cell>
        </row>
      </sheetData>
      <sheetData sheetId="8">
        <row r="5">
          <cell r="A5">
            <v>1</v>
          </cell>
          <cell r="B5" t="str">
            <v>Brennan Coleman</v>
          </cell>
        </row>
        <row r="6">
          <cell r="A6">
            <v>2</v>
          </cell>
          <cell r="B6" t="str">
            <v>Alexander May</v>
          </cell>
        </row>
        <row r="7">
          <cell r="A7">
            <v>3</v>
          </cell>
          <cell r="B7" t="str">
            <v>EHGL</v>
          </cell>
        </row>
        <row r="8">
          <cell r="A8">
            <v>4</v>
          </cell>
          <cell r="B8" t="str">
            <v>Alexander May</v>
          </cell>
        </row>
        <row r="9">
          <cell r="A9">
            <v>5</v>
          </cell>
          <cell r="B9" t="str">
            <v>Dun Kosal</v>
          </cell>
        </row>
        <row r="10">
          <cell r="A10">
            <v>6</v>
          </cell>
          <cell r="B10" t="str">
            <v>Eb Houy</v>
          </cell>
        </row>
        <row r="11">
          <cell r="A11">
            <v>7</v>
          </cell>
          <cell r="B11">
            <v>0</v>
          </cell>
        </row>
        <row r="12">
          <cell r="A12">
            <v>8</v>
          </cell>
          <cell r="B12">
            <v>0</v>
          </cell>
        </row>
        <row r="13">
          <cell r="A13">
            <v>9</v>
          </cell>
          <cell r="B13" t="str">
            <v>Hang Sina</v>
          </cell>
        </row>
        <row r="14">
          <cell r="A14">
            <v>10</v>
          </cell>
          <cell r="B14" t="str">
            <v xml:space="preserve">Hang Vannak </v>
          </cell>
        </row>
        <row r="15">
          <cell r="A15">
            <v>11</v>
          </cell>
          <cell r="B15">
            <v>0</v>
          </cell>
        </row>
        <row r="16">
          <cell r="A16">
            <v>12</v>
          </cell>
          <cell r="B16">
            <v>0</v>
          </cell>
        </row>
        <row r="17">
          <cell r="A17">
            <v>13</v>
          </cell>
          <cell r="B17" t="str">
            <v>Heng Chhorvortey</v>
          </cell>
        </row>
        <row r="18">
          <cell r="A18">
            <v>14</v>
          </cell>
          <cell r="B18">
            <v>0</v>
          </cell>
        </row>
        <row r="19">
          <cell r="A19">
            <v>15</v>
          </cell>
          <cell r="B19" t="str">
            <v>Jamie Cummiskey</v>
          </cell>
        </row>
        <row r="20">
          <cell r="A20">
            <v>16</v>
          </cell>
          <cell r="B20" t="str">
            <v>Kim Bunnavuth</v>
          </cell>
        </row>
        <row r="21">
          <cell r="A21">
            <v>17</v>
          </cell>
          <cell r="B21" t="str">
            <v>Kim Serey Sokha</v>
          </cell>
        </row>
        <row r="22">
          <cell r="A22">
            <v>18</v>
          </cell>
          <cell r="B22" t="str">
            <v xml:space="preserve">Kong Chhung </v>
          </cell>
        </row>
        <row r="23">
          <cell r="A23">
            <v>19</v>
          </cell>
          <cell r="B23" t="str">
            <v>Kong Putheavy</v>
          </cell>
        </row>
        <row r="24">
          <cell r="A24">
            <v>20</v>
          </cell>
          <cell r="B24">
            <v>0</v>
          </cell>
        </row>
        <row r="25">
          <cell r="A25">
            <v>21</v>
          </cell>
          <cell r="B25" t="str">
            <v>Kao Vannarith</v>
          </cell>
        </row>
        <row r="26">
          <cell r="A26">
            <v>22</v>
          </cell>
          <cell r="B26" t="str">
            <v>Ly Sambo</v>
          </cell>
        </row>
        <row r="27">
          <cell r="A27">
            <v>23</v>
          </cell>
          <cell r="B27" t="str">
            <v>Ly Tay Seng</v>
          </cell>
        </row>
        <row r="28">
          <cell r="A28">
            <v>24</v>
          </cell>
          <cell r="B28" t="str">
            <v>Mao Samvutheary</v>
          </cell>
        </row>
        <row r="29">
          <cell r="A29">
            <v>25</v>
          </cell>
          <cell r="B29" t="str">
            <v>Martin Desautels</v>
          </cell>
        </row>
        <row r="30">
          <cell r="A30">
            <v>26</v>
          </cell>
          <cell r="B30">
            <v>0</v>
          </cell>
        </row>
        <row r="31">
          <cell r="A31">
            <v>27</v>
          </cell>
          <cell r="B31" t="str">
            <v xml:space="preserve">Me Kim Thuon </v>
          </cell>
        </row>
        <row r="32">
          <cell r="A32">
            <v>28</v>
          </cell>
          <cell r="B32">
            <v>0</v>
          </cell>
        </row>
        <row r="33">
          <cell r="A33">
            <v>29</v>
          </cell>
          <cell r="B33" t="str">
            <v>Minh Samoeun</v>
          </cell>
        </row>
        <row r="34">
          <cell r="A34">
            <v>30</v>
          </cell>
          <cell r="B34" t="str">
            <v>Mom Bunna</v>
          </cell>
        </row>
        <row r="35">
          <cell r="A35">
            <v>31</v>
          </cell>
          <cell r="B35">
            <v>0</v>
          </cell>
        </row>
        <row r="36">
          <cell r="A36">
            <v>32</v>
          </cell>
          <cell r="B36" t="str">
            <v>Nhem Phal</v>
          </cell>
        </row>
        <row r="37">
          <cell r="A37">
            <v>33</v>
          </cell>
          <cell r="B37" t="str">
            <v>Chea Kanitha</v>
          </cell>
        </row>
        <row r="38">
          <cell r="A38">
            <v>34</v>
          </cell>
          <cell r="B38" t="str">
            <v>Patrick Pilon</v>
          </cell>
        </row>
        <row r="39">
          <cell r="A39">
            <v>35</v>
          </cell>
          <cell r="B39" t="str">
            <v>Peou Sopheak</v>
          </cell>
        </row>
        <row r="40">
          <cell r="A40">
            <v>36</v>
          </cell>
          <cell r="B40" t="str">
            <v>Poynee</v>
          </cell>
        </row>
        <row r="41">
          <cell r="A41">
            <v>37</v>
          </cell>
          <cell r="B41" t="str">
            <v>Prak Sihakriddh</v>
          </cell>
        </row>
        <row r="42">
          <cell r="A42">
            <v>38</v>
          </cell>
          <cell r="B42" t="str">
            <v>Rupert Haw</v>
          </cell>
        </row>
        <row r="43">
          <cell r="A43">
            <v>39</v>
          </cell>
          <cell r="B43" t="str">
            <v>Sar Vathana</v>
          </cell>
        </row>
        <row r="44">
          <cell r="A44">
            <v>40</v>
          </cell>
          <cell r="B44" t="str">
            <v>Sek Rany</v>
          </cell>
        </row>
        <row r="45">
          <cell r="A45">
            <v>41</v>
          </cell>
          <cell r="B45" t="str">
            <v>Sin Sivutha</v>
          </cell>
        </row>
        <row r="46">
          <cell r="A46">
            <v>42</v>
          </cell>
          <cell r="B46" t="str">
            <v>Sok Sonida</v>
          </cell>
        </row>
        <row r="47">
          <cell r="A47">
            <v>43</v>
          </cell>
          <cell r="B47">
            <v>0</v>
          </cell>
        </row>
        <row r="48">
          <cell r="A48">
            <v>44</v>
          </cell>
          <cell r="B48" t="str">
            <v>Uy Samon</v>
          </cell>
        </row>
        <row r="49">
          <cell r="A49">
            <v>45</v>
          </cell>
          <cell r="B49" t="str">
            <v>Yun Potim</v>
          </cell>
        </row>
        <row r="50">
          <cell r="A50">
            <v>46</v>
          </cell>
          <cell r="B50">
            <v>0</v>
          </cell>
        </row>
        <row r="51">
          <cell r="A51">
            <v>47</v>
          </cell>
          <cell r="B51" t="str">
            <v>Tran Hanh</v>
          </cell>
        </row>
        <row r="52">
          <cell r="A52">
            <v>48</v>
          </cell>
          <cell r="B52" t="str">
            <v xml:space="preserve">David FRUITMAN </v>
          </cell>
        </row>
        <row r="53">
          <cell r="A53">
            <v>49</v>
          </cell>
          <cell r="B53" t="str">
            <v>Chantal Beaubien</v>
          </cell>
        </row>
        <row r="54">
          <cell r="A54">
            <v>50</v>
          </cell>
          <cell r="B54">
            <v>0</v>
          </cell>
        </row>
        <row r="55">
          <cell r="A55">
            <v>51</v>
          </cell>
          <cell r="B55">
            <v>0</v>
          </cell>
        </row>
        <row r="56">
          <cell r="A56">
            <v>52</v>
          </cell>
          <cell r="B56" t="str">
            <v>Irene Madigan</v>
          </cell>
        </row>
        <row r="57">
          <cell r="A57">
            <v>53</v>
          </cell>
          <cell r="B57" t="str">
            <v>Koy Chenda</v>
          </cell>
        </row>
        <row r="58">
          <cell r="A58">
            <v>54</v>
          </cell>
          <cell r="B58">
            <v>0</v>
          </cell>
        </row>
        <row r="59">
          <cell r="A59">
            <v>55</v>
          </cell>
          <cell r="B59" t="str">
            <v xml:space="preserve">Edwin Vanderbruggen </v>
          </cell>
          <cell r="K59">
            <v>7500</v>
          </cell>
        </row>
        <row r="60">
          <cell r="A60">
            <v>56</v>
          </cell>
          <cell r="B60">
            <v>0</v>
          </cell>
        </row>
        <row r="61">
          <cell r="A61">
            <v>57</v>
          </cell>
          <cell r="B61" t="str">
            <v>Srun Sokha</v>
          </cell>
        </row>
        <row r="62">
          <cell r="A62">
            <v>58</v>
          </cell>
          <cell r="B62" t="str">
            <v>Un Sinath</v>
          </cell>
        </row>
        <row r="63">
          <cell r="A63">
            <v>59</v>
          </cell>
        </row>
        <row r="64">
          <cell r="A64">
            <v>60</v>
          </cell>
        </row>
      </sheetData>
      <sheetData sheetId="9"/>
      <sheetData sheetId="10"/>
      <sheetData sheetId="11"/>
      <sheetData sheetId="12"/>
      <sheetData sheetId="13"/>
      <sheetData sheetId="14"/>
      <sheetData sheetId="15">
        <row r="5">
          <cell r="A5">
            <v>1</v>
          </cell>
          <cell r="B5" t="str">
            <v>Brennan Coleman</v>
          </cell>
        </row>
        <row r="6">
          <cell r="A6">
            <v>2</v>
          </cell>
          <cell r="B6" t="str">
            <v>Alexander May</v>
          </cell>
        </row>
        <row r="7">
          <cell r="A7">
            <v>3</v>
          </cell>
          <cell r="B7" t="str">
            <v>EHGL</v>
          </cell>
        </row>
        <row r="8">
          <cell r="A8">
            <v>4</v>
          </cell>
          <cell r="B8" t="str">
            <v>Alexander May</v>
          </cell>
        </row>
        <row r="9">
          <cell r="A9">
            <v>5</v>
          </cell>
          <cell r="B9" t="str">
            <v>Dun Kosal</v>
          </cell>
        </row>
        <row r="10">
          <cell r="A10">
            <v>6</v>
          </cell>
          <cell r="B10" t="str">
            <v>Eb Houy</v>
          </cell>
        </row>
        <row r="11">
          <cell r="A11">
            <v>7</v>
          </cell>
          <cell r="B11">
            <v>0</v>
          </cell>
        </row>
        <row r="12">
          <cell r="A12">
            <v>8</v>
          </cell>
          <cell r="B12">
            <v>0</v>
          </cell>
        </row>
        <row r="13">
          <cell r="A13">
            <v>9</v>
          </cell>
          <cell r="B13" t="str">
            <v>Hang Sina</v>
          </cell>
        </row>
        <row r="14">
          <cell r="A14">
            <v>10</v>
          </cell>
          <cell r="B14" t="str">
            <v xml:space="preserve">Hang Vannak </v>
          </cell>
        </row>
        <row r="15">
          <cell r="A15">
            <v>11</v>
          </cell>
          <cell r="B15">
            <v>0</v>
          </cell>
        </row>
        <row r="16">
          <cell r="A16">
            <v>12</v>
          </cell>
          <cell r="B16">
            <v>0</v>
          </cell>
        </row>
        <row r="17">
          <cell r="A17">
            <v>13</v>
          </cell>
          <cell r="B17" t="str">
            <v>Heng Chhorvortey</v>
          </cell>
        </row>
        <row r="18">
          <cell r="A18">
            <v>14</v>
          </cell>
          <cell r="B18">
            <v>0</v>
          </cell>
        </row>
        <row r="19">
          <cell r="A19">
            <v>15</v>
          </cell>
          <cell r="B19" t="str">
            <v>Jamie Cummiskey</v>
          </cell>
        </row>
        <row r="20">
          <cell r="A20">
            <v>16</v>
          </cell>
          <cell r="B20" t="str">
            <v>Kim Bunnavuth</v>
          </cell>
        </row>
        <row r="21">
          <cell r="A21">
            <v>17</v>
          </cell>
          <cell r="B21" t="str">
            <v>Kim Serey Sokha</v>
          </cell>
        </row>
        <row r="22">
          <cell r="A22">
            <v>18</v>
          </cell>
          <cell r="B22" t="str">
            <v xml:space="preserve">Kong Chhung </v>
          </cell>
        </row>
        <row r="23">
          <cell r="A23">
            <v>19</v>
          </cell>
          <cell r="B23" t="str">
            <v>Kong Putheavy</v>
          </cell>
        </row>
        <row r="24">
          <cell r="A24">
            <v>20</v>
          </cell>
          <cell r="B24">
            <v>0</v>
          </cell>
        </row>
        <row r="25">
          <cell r="A25">
            <v>21</v>
          </cell>
          <cell r="B25" t="str">
            <v>Kao Vannarith</v>
          </cell>
        </row>
        <row r="26">
          <cell r="A26">
            <v>22</v>
          </cell>
          <cell r="B26" t="str">
            <v>Ly Sambo</v>
          </cell>
        </row>
        <row r="27">
          <cell r="A27">
            <v>23</v>
          </cell>
          <cell r="B27" t="str">
            <v>Ly Tay Seng</v>
          </cell>
        </row>
        <row r="28">
          <cell r="A28">
            <v>24</v>
          </cell>
          <cell r="B28" t="str">
            <v>Mao Samvutheary</v>
          </cell>
        </row>
        <row r="29">
          <cell r="A29">
            <v>25</v>
          </cell>
          <cell r="B29" t="str">
            <v>Martin Desautels</v>
          </cell>
        </row>
        <row r="30">
          <cell r="A30">
            <v>26</v>
          </cell>
          <cell r="B30">
            <v>0</v>
          </cell>
        </row>
        <row r="31">
          <cell r="A31">
            <v>27</v>
          </cell>
          <cell r="B31" t="str">
            <v xml:space="preserve">Me Kim Thuon </v>
          </cell>
        </row>
        <row r="32">
          <cell r="A32">
            <v>28</v>
          </cell>
          <cell r="B32">
            <v>0</v>
          </cell>
        </row>
        <row r="33">
          <cell r="A33">
            <v>29</v>
          </cell>
          <cell r="B33" t="str">
            <v>Minh Samoeun</v>
          </cell>
        </row>
        <row r="34">
          <cell r="A34">
            <v>30</v>
          </cell>
          <cell r="B34" t="str">
            <v>Mom Bunna</v>
          </cell>
        </row>
        <row r="35">
          <cell r="A35">
            <v>31</v>
          </cell>
          <cell r="B35">
            <v>0</v>
          </cell>
        </row>
        <row r="36">
          <cell r="A36">
            <v>32</v>
          </cell>
          <cell r="B36" t="str">
            <v>Nhem Phal</v>
          </cell>
        </row>
        <row r="37">
          <cell r="A37">
            <v>33</v>
          </cell>
          <cell r="B37" t="str">
            <v>Chea Kanitha</v>
          </cell>
        </row>
        <row r="38">
          <cell r="A38">
            <v>34</v>
          </cell>
          <cell r="B38" t="str">
            <v>Patrick Pilon</v>
          </cell>
        </row>
        <row r="39">
          <cell r="A39">
            <v>35</v>
          </cell>
          <cell r="B39" t="str">
            <v>Peou Sopheak</v>
          </cell>
        </row>
        <row r="40">
          <cell r="A40">
            <v>36</v>
          </cell>
          <cell r="B40" t="str">
            <v>Poynee</v>
          </cell>
        </row>
        <row r="41">
          <cell r="A41">
            <v>37</v>
          </cell>
          <cell r="B41" t="str">
            <v>Prak Sihakriddh</v>
          </cell>
        </row>
        <row r="42">
          <cell r="A42">
            <v>38</v>
          </cell>
          <cell r="B42" t="str">
            <v>Rupert Haw</v>
          </cell>
        </row>
        <row r="43">
          <cell r="A43">
            <v>39</v>
          </cell>
          <cell r="B43" t="str">
            <v>Sar Vathana</v>
          </cell>
        </row>
        <row r="44">
          <cell r="A44">
            <v>40</v>
          </cell>
          <cell r="B44" t="str">
            <v>Sek Rany</v>
          </cell>
        </row>
        <row r="45">
          <cell r="A45">
            <v>41</v>
          </cell>
          <cell r="B45" t="str">
            <v>Sin Sivutha</v>
          </cell>
        </row>
        <row r="46">
          <cell r="A46">
            <v>42</v>
          </cell>
          <cell r="B46" t="str">
            <v>Sok Sonida</v>
          </cell>
        </row>
        <row r="47">
          <cell r="A47">
            <v>43</v>
          </cell>
          <cell r="B47">
            <v>0</v>
          </cell>
        </row>
        <row r="48">
          <cell r="A48">
            <v>44</v>
          </cell>
          <cell r="B48" t="str">
            <v>Uy Samon</v>
          </cell>
        </row>
        <row r="49">
          <cell r="A49">
            <v>45</v>
          </cell>
          <cell r="B49" t="str">
            <v>Yun Potim</v>
          </cell>
        </row>
        <row r="50">
          <cell r="A50">
            <v>46</v>
          </cell>
          <cell r="B50">
            <v>0</v>
          </cell>
        </row>
        <row r="51">
          <cell r="A51">
            <v>47</v>
          </cell>
          <cell r="B51" t="str">
            <v>Tran Hanh</v>
          </cell>
        </row>
        <row r="52">
          <cell r="A52">
            <v>48</v>
          </cell>
          <cell r="B52" t="str">
            <v xml:space="preserve">David FRUITMAN </v>
          </cell>
        </row>
        <row r="53">
          <cell r="A53">
            <v>49</v>
          </cell>
          <cell r="B53" t="str">
            <v>Chantal Beaubien</v>
          </cell>
        </row>
        <row r="54">
          <cell r="A54">
            <v>50</v>
          </cell>
          <cell r="B54">
            <v>0</v>
          </cell>
        </row>
        <row r="55">
          <cell r="A55">
            <v>51</v>
          </cell>
          <cell r="B55">
            <v>0</v>
          </cell>
        </row>
        <row r="56">
          <cell r="A56">
            <v>52</v>
          </cell>
          <cell r="B56" t="str">
            <v>Irene Madigan</v>
          </cell>
        </row>
        <row r="57">
          <cell r="A57">
            <v>53</v>
          </cell>
          <cell r="B57" t="str">
            <v>Koy Chenda</v>
          </cell>
        </row>
        <row r="58">
          <cell r="A58">
            <v>54</v>
          </cell>
          <cell r="B58">
            <v>0</v>
          </cell>
        </row>
        <row r="59">
          <cell r="A59">
            <v>55</v>
          </cell>
          <cell r="B59" t="str">
            <v xml:space="preserve">Edwin Vanderbruggen </v>
          </cell>
        </row>
        <row r="60">
          <cell r="A60">
            <v>56</v>
          </cell>
          <cell r="B60">
            <v>0</v>
          </cell>
        </row>
        <row r="61">
          <cell r="A61">
            <v>57</v>
          </cell>
          <cell r="B61" t="str">
            <v>Srun Sokha</v>
          </cell>
        </row>
        <row r="62">
          <cell r="A62">
            <v>58</v>
          </cell>
          <cell r="B62" t="str">
            <v>Un Sinath</v>
          </cell>
        </row>
      </sheetData>
      <sheetData sheetId="16">
        <row r="5">
          <cell r="A5">
            <v>1</v>
          </cell>
          <cell r="B5" t="str">
            <v>Brennan Coleman</v>
          </cell>
          <cell r="E5">
            <v>37331</v>
          </cell>
        </row>
        <row r="6">
          <cell r="A6">
            <v>2</v>
          </cell>
          <cell r="B6" t="str">
            <v>Alexander May</v>
          </cell>
        </row>
        <row r="7">
          <cell r="A7">
            <v>3</v>
          </cell>
          <cell r="B7" t="str">
            <v>EHGL</v>
          </cell>
        </row>
        <row r="8">
          <cell r="A8">
            <v>4</v>
          </cell>
        </row>
        <row r="9">
          <cell r="A9">
            <v>5</v>
          </cell>
          <cell r="B9" t="str">
            <v>Dun Kosal</v>
          </cell>
          <cell r="F9">
            <v>437.5</v>
          </cell>
          <cell r="G9">
            <v>437.5</v>
          </cell>
          <cell r="H9">
            <v>437.5</v>
          </cell>
          <cell r="I9">
            <v>437.5</v>
          </cell>
        </row>
        <row r="10">
          <cell r="A10">
            <v>6</v>
          </cell>
          <cell r="B10" t="str">
            <v>Eb Houy</v>
          </cell>
          <cell r="F10">
            <v>238</v>
          </cell>
        </row>
        <row r="11">
          <cell r="A11">
            <v>7</v>
          </cell>
          <cell r="B11">
            <v>0</v>
          </cell>
        </row>
        <row r="12">
          <cell r="A12">
            <v>8</v>
          </cell>
          <cell r="B12">
            <v>0</v>
          </cell>
        </row>
        <row r="13">
          <cell r="A13">
            <v>9</v>
          </cell>
          <cell r="B13" t="str">
            <v>Hang Sina</v>
          </cell>
          <cell r="F13">
            <v>233</v>
          </cell>
        </row>
        <row r="14">
          <cell r="A14">
            <v>10</v>
          </cell>
          <cell r="B14" t="str">
            <v xml:space="preserve">Hang Vannak </v>
          </cell>
          <cell r="F14">
            <v>308</v>
          </cell>
          <cell r="G14">
            <v>308</v>
          </cell>
          <cell r="H14">
            <v>308</v>
          </cell>
          <cell r="I14">
            <v>308</v>
          </cell>
        </row>
        <row r="15">
          <cell r="A15">
            <v>11</v>
          </cell>
          <cell r="B15">
            <v>0</v>
          </cell>
        </row>
        <row r="16">
          <cell r="A16">
            <v>12</v>
          </cell>
          <cell r="B16">
            <v>0</v>
          </cell>
        </row>
        <row r="17">
          <cell r="A17">
            <v>13</v>
          </cell>
          <cell r="B17" t="str">
            <v>Heng Chhorvortey</v>
          </cell>
          <cell r="F17">
            <v>466.75</v>
          </cell>
          <cell r="G17">
            <v>466.75</v>
          </cell>
          <cell r="H17">
            <v>466.75</v>
          </cell>
          <cell r="I17">
            <v>466.75</v>
          </cell>
        </row>
        <row r="18">
          <cell r="A18">
            <v>14</v>
          </cell>
          <cell r="B18">
            <v>0</v>
          </cell>
        </row>
        <row r="19">
          <cell r="A19">
            <v>15</v>
          </cell>
          <cell r="B19" t="str">
            <v>Jamie Cummiskey</v>
          </cell>
        </row>
        <row r="20">
          <cell r="A20">
            <v>16</v>
          </cell>
          <cell r="B20" t="str">
            <v>Kim Bunnavuth</v>
          </cell>
        </row>
        <row r="21">
          <cell r="A21">
            <v>17</v>
          </cell>
          <cell r="B21" t="str">
            <v>Kim Serey Sokha</v>
          </cell>
          <cell r="F21">
            <v>271.5</v>
          </cell>
          <cell r="G21">
            <v>271.5</v>
          </cell>
        </row>
        <row r="22">
          <cell r="A22">
            <v>18</v>
          </cell>
          <cell r="B22" t="str">
            <v xml:space="preserve">Kong Chhung </v>
          </cell>
          <cell r="D22">
            <v>1742.67</v>
          </cell>
          <cell r="E22">
            <v>9674.41</v>
          </cell>
          <cell r="F22">
            <v>1537.57</v>
          </cell>
          <cell r="I22">
            <v>713.04</v>
          </cell>
        </row>
        <row r="23">
          <cell r="A23">
            <v>19</v>
          </cell>
          <cell r="B23" t="str">
            <v>Kong Putheavy</v>
          </cell>
          <cell r="F23">
            <v>251.5</v>
          </cell>
          <cell r="G23">
            <v>251.5</v>
          </cell>
        </row>
        <row r="24">
          <cell r="A24">
            <v>20</v>
          </cell>
          <cell r="B24">
            <v>0</v>
          </cell>
        </row>
        <row r="25">
          <cell r="A25">
            <v>21</v>
          </cell>
          <cell r="B25" t="str">
            <v>Kao Vannarith</v>
          </cell>
          <cell r="F25">
            <v>295</v>
          </cell>
        </row>
        <row r="26">
          <cell r="A26">
            <v>22</v>
          </cell>
          <cell r="B26" t="str">
            <v>Ly Sambo</v>
          </cell>
          <cell r="C26">
            <v>500</v>
          </cell>
          <cell r="D26">
            <v>500</v>
          </cell>
          <cell r="E26">
            <v>500</v>
          </cell>
          <cell r="F26">
            <v>858</v>
          </cell>
          <cell r="G26">
            <v>858</v>
          </cell>
          <cell r="H26">
            <v>858</v>
          </cell>
          <cell r="I26">
            <v>858</v>
          </cell>
          <cell r="J26">
            <v>500</v>
          </cell>
          <cell r="K26">
            <v>500</v>
          </cell>
          <cell r="L26">
            <v>500</v>
          </cell>
          <cell r="M26">
            <v>500</v>
          </cell>
          <cell r="N26">
            <v>500</v>
          </cell>
        </row>
        <row r="27">
          <cell r="A27">
            <v>23</v>
          </cell>
          <cell r="B27" t="str">
            <v>Ly Tay Seng</v>
          </cell>
        </row>
        <row r="28">
          <cell r="A28">
            <v>24</v>
          </cell>
          <cell r="B28" t="str">
            <v>Mao Samvutheary</v>
          </cell>
          <cell r="E28">
            <v>11457.5</v>
          </cell>
          <cell r="F28">
            <v>1928.83</v>
          </cell>
          <cell r="I28">
            <v>1003.82</v>
          </cell>
        </row>
        <row r="29">
          <cell r="A29">
            <v>25</v>
          </cell>
          <cell r="B29" t="str">
            <v>Martin Desautels</v>
          </cell>
        </row>
        <row r="30">
          <cell r="A30">
            <v>26</v>
          </cell>
          <cell r="B30">
            <v>0</v>
          </cell>
        </row>
        <row r="31">
          <cell r="A31">
            <v>27</v>
          </cell>
          <cell r="B31" t="str">
            <v xml:space="preserve">Me Kim Thuon </v>
          </cell>
          <cell r="F31">
            <v>340</v>
          </cell>
        </row>
        <row r="32">
          <cell r="A32">
            <v>28</v>
          </cell>
          <cell r="B32">
            <v>0</v>
          </cell>
        </row>
        <row r="33">
          <cell r="A33">
            <v>29</v>
          </cell>
          <cell r="B33" t="str">
            <v>Minh Samoeun</v>
          </cell>
          <cell r="F33">
            <v>298</v>
          </cell>
        </row>
        <row r="34">
          <cell r="A34">
            <v>30</v>
          </cell>
          <cell r="B34" t="str">
            <v>Mom Bunna</v>
          </cell>
          <cell r="F34">
            <v>181</v>
          </cell>
        </row>
        <row r="35">
          <cell r="A35">
            <v>31</v>
          </cell>
          <cell r="B35">
            <v>0</v>
          </cell>
        </row>
        <row r="36">
          <cell r="A36">
            <v>32</v>
          </cell>
          <cell r="B36" t="str">
            <v>Nhem Phal</v>
          </cell>
          <cell r="F36">
            <v>275</v>
          </cell>
        </row>
        <row r="37">
          <cell r="A37">
            <v>33</v>
          </cell>
          <cell r="B37" t="str">
            <v>Chea Kanitha</v>
          </cell>
          <cell r="F37">
            <v>331</v>
          </cell>
          <cell r="G37">
            <v>331</v>
          </cell>
        </row>
        <row r="38">
          <cell r="A38">
            <v>34</v>
          </cell>
          <cell r="B38" t="str">
            <v>Patrick Pilon</v>
          </cell>
          <cell r="F38">
            <v>1600</v>
          </cell>
          <cell r="G38">
            <v>1600</v>
          </cell>
          <cell r="H38">
            <v>1600</v>
          </cell>
          <cell r="I38">
            <v>1600</v>
          </cell>
          <cell r="J38">
            <v>5482.75</v>
          </cell>
        </row>
        <row r="39">
          <cell r="A39">
            <v>35</v>
          </cell>
          <cell r="B39" t="str">
            <v>Peou Sopheak</v>
          </cell>
          <cell r="F39">
            <v>368</v>
          </cell>
        </row>
        <row r="40">
          <cell r="A40">
            <v>36</v>
          </cell>
          <cell r="B40" t="str">
            <v>Poynee</v>
          </cell>
          <cell r="F40">
            <v>260</v>
          </cell>
        </row>
        <row r="41">
          <cell r="A41">
            <v>37</v>
          </cell>
          <cell r="B41" t="str">
            <v>Prak Sihakriddh</v>
          </cell>
        </row>
        <row r="42">
          <cell r="A42">
            <v>38</v>
          </cell>
          <cell r="B42" t="str">
            <v>Rupert Haw</v>
          </cell>
        </row>
        <row r="43">
          <cell r="A43">
            <v>39</v>
          </cell>
          <cell r="B43" t="str">
            <v>Sar Vathana</v>
          </cell>
          <cell r="F43">
            <v>813.4</v>
          </cell>
          <cell r="G43">
            <v>813.4</v>
          </cell>
          <cell r="H43">
            <v>813.4</v>
          </cell>
          <cell r="I43">
            <v>813.4</v>
          </cell>
          <cell r="J43">
            <v>813.4</v>
          </cell>
        </row>
        <row r="44">
          <cell r="A44">
            <v>40</v>
          </cell>
          <cell r="B44" t="str">
            <v>Sek Rany</v>
          </cell>
          <cell r="F44">
            <v>396.5</v>
          </cell>
          <cell r="G44">
            <v>396.5</v>
          </cell>
        </row>
        <row r="45">
          <cell r="A45">
            <v>41</v>
          </cell>
          <cell r="B45" t="str">
            <v>Sin Sivutha</v>
          </cell>
          <cell r="F45">
            <v>238</v>
          </cell>
        </row>
        <row r="46">
          <cell r="A46">
            <v>42</v>
          </cell>
          <cell r="B46" t="str">
            <v>Sok Sonida</v>
          </cell>
          <cell r="F46">
            <v>316.5</v>
          </cell>
          <cell r="G46">
            <v>316.5</v>
          </cell>
        </row>
        <row r="47">
          <cell r="A47">
            <v>43</v>
          </cell>
          <cell r="B47">
            <v>0</v>
          </cell>
        </row>
        <row r="48">
          <cell r="A48">
            <v>44</v>
          </cell>
          <cell r="B48" t="str">
            <v>Uy Samon</v>
          </cell>
          <cell r="F48">
            <v>357.5</v>
          </cell>
          <cell r="G48">
            <v>357.5</v>
          </cell>
        </row>
        <row r="49">
          <cell r="A49">
            <v>45</v>
          </cell>
          <cell r="B49" t="str">
            <v>Yun Potim</v>
          </cell>
          <cell r="D49">
            <v>1336.87</v>
          </cell>
          <cell r="F49">
            <v>1419.88</v>
          </cell>
          <cell r="I49">
            <v>1071.3599999999999</v>
          </cell>
        </row>
        <row r="50">
          <cell r="A50">
            <v>46</v>
          </cell>
          <cell r="B50">
            <v>0</v>
          </cell>
        </row>
        <row r="51">
          <cell r="A51">
            <v>47</v>
          </cell>
          <cell r="B51" t="str">
            <v>Tran Hanh</v>
          </cell>
        </row>
        <row r="52">
          <cell r="A52">
            <v>48</v>
          </cell>
          <cell r="B52" t="str">
            <v xml:space="preserve">David FRUITMAN </v>
          </cell>
        </row>
        <row r="53">
          <cell r="A53">
            <v>49</v>
          </cell>
          <cell r="B53" t="str">
            <v>Chantal Beaubien</v>
          </cell>
          <cell r="G53">
            <v>927.27</v>
          </cell>
          <cell r="H53">
            <v>2101.5300000000002</v>
          </cell>
          <cell r="I53">
            <v>1009.6</v>
          </cell>
          <cell r="J53">
            <v>1009.6</v>
          </cell>
        </row>
        <row r="54">
          <cell r="A54">
            <v>50</v>
          </cell>
          <cell r="B54">
            <v>0</v>
          </cell>
        </row>
        <row r="55">
          <cell r="A55">
            <v>51</v>
          </cell>
          <cell r="B55">
            <v>0</v>
          </cell>
        </row>
        <row r="56">
          <cell r="A56">
            <v>52</v>
          </cell>
          <cell r="B56" t="str">
            <v>Irene Madigan</v>
          </cell>
        </row>
        <row r="57">
          <cell r="A57">
            <v>53</v>
          </cell>
          <cell r="B57" t="str">
            <v>Koy Chenda</v>
          </cell>
          <cell r="F57">
            <v>298</v>
          </cell>
        </row>
        <row r="58">
          <cell r="A58">
            <v>54</v>
          </cell>
          <cell r="B58">
            <v>0</v>
          </cell>
        </row>
        <row r="59">
          <cell r="A59">
            <v>55</v>
          </cell>
          <cell r="B59" t="str">
            <v xml:space="preserve">Edwin Vanderbruggen </v>
          </cell>
          <cell r="E59">
            <v>52500</v>
          </cell>
        </row>
        <row r="60">
          <cell r="A60">
            <v>56</v>
          </cell>
          <cell r="B60">
            <v>0</v>
          </cell>
        </row>
        <row r="61">
          <cell r="A61">
            <v>57</v>
          </cell>
          <cell r="B61" t="str">
            <v>Srun Sokha</v>
          </cell>
          <cell r="F61">
            <v>466.5</v>
          </cell>
          <cell r="G61">
            <v>466.5</v>
          </cell>
        </row>
        <row r="62">
          <cell r="A62">
            <v>58</v>
          </cell>
          <cell r="B62" t="str">
            <v>Un Sinath</v>
          </cell>
          <cell r="F62">
            <v>361.75</v>
          </cell>
          <cell r="G62">
            <v>361.75</v>
          </cell>
          <cell r="H62">
            <v>361.75</v>
          </cell>
          <cell r="I62">
            <v>361.75</v>
          </cell>
        </row>
      </sheetData>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ow r="2">
          <cell r="F2">
            <v>9</v>
          </cell>
        </row>
      </sheetData>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ex"/>
      <sheetName val="Expenses"/>
      <sheetName val="General Data"/>
      <sheetName val="ExchangeRates"/>
      <sheetName val="ExchRateOffset"/>
      <sheetName val="EmpOrContractor"/>
      <sheetName val="PartTime"/>
      <sheetName val="Base Salary"/>
      <sheetName val="Catchup"/>
      <sheetName val="OTimeHrsPre6PM"/>
      <sheetName val="OTimeHrsPost6PM"/>
      <sheetName val="OTime_USD_Pre6PM"/>
      <sheetName val="OTime_USD_Post6PM"/>
      <sheetName val="OTime_TotalUSD"/>
      <sheetName val="Overtime"/>
      <sheetName val="ExcessLeave"/>
      <sheetName val="BonusesTax"/>
      <sheetName val="BonusesNonTax"/>
      <sheetName val="Allowances"/>
      <sheetName val="CashAdvances"/>
      <sheetName val="BusExpReimb"/>
      <sheetName val="CreditCard"/>
      <sheetName val="TelFaxCopy"/>
      <sheetName val="StaffLoan"/>
      <sheetName val="Kids"/>
      <sheetName val="Spouse"/>
      <sheetName val="VillaRental"/>
      <sheetName val="TaxableSalary"/>
      <sheetName val="SalaryTaxByMonth"/>
      <sheetName val="WHTbyMonth"/>
      <sheetName val="AnnualLeave"/>
      <sheetName val="Bonus2005"/>
      <sheetName val="Summary"/>
      <sheetName val="Salary"/>
      <sheetName val="Khmer%Sal."/>
      <sheetName val="SJ.Inv"/>
      <sheetName val="SumTax"/>
      <sheetName val="InpTx"/>
      <sheetName val="SummOfTaxes"/>
      <sheetName val="ChqNo"/>
      <sheetName val="PaySlipDFDL"/>
      <sheetName val="New"/>
      <sheetName val="Employees"/>
      <sheetName val="Dat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3">
          <cell r="A3">
            <v>1</v>
          </cell>
          <cell r="B3" t="str">
            <v>Sim Rathyda</v>
          </cell>
          <cell r="C3">
            <v>1</v>
          </cell>
          <cell r="F3" t="str">
            <v>Knenyü</v>
          </cell>
          <cell r="G3" t="str">
            <v>Y</v>
          </cell>
        </row>
        <row r="4">
          <cell r="A4">
            <v>2</v>
          </cell>
          <cell r="B4" t="str">
            <v>Kheang Sophorn</v>
          </cell>
          <cell r="C4">
            <v>1</v>
          </cell>
          <cell r="F4" t="str">
            <v>CMnYykarc,ab;</v>
          </cell>
          <cell r="G4" t="str">
            <v>Y</v>
          </cell>
        </row>
        <row r="5">
          <cell r="A5">
            <v>3</v>
          </cell>
          <cell r="B5" t="str">
            <v>Nicolas Preisner</v>
          </cell>
          <cell r="C5">
            <v>2</v>
          </cell>
          <cell r="F5" t="str">
            <v>RbFankariyal½y</v>
          </cell>
          <cell r="G5" t="str">
            <v>Y</v>
          </cell>
        </row>
        <row r="6">
          <cell r="A6">
            <v>4</v>
          </cell>
          <cell r="B6" t="str">
            <v>Rob Force</v>
          </cell>
          <cell r="C6">
            <v>2</v>
          </cell>
          <cell r="F6" t="str">
            <v>emFavI</v>
          </cell>
          <cell r="G6" t="str">
            <v>N</v>
          </cell>
        </row>
        <row r="7">
          <cell r="A7">
            <v>5</v>
          </cell>
          <cell r="B7" t="str">
            <v>Paul Adair</v>
          </cell>
          <cell r="C7">
            <v>2</v>
          </cell>
          <cell r="F7" t="str">
            <v>naykhirBaØvtßú</v>
          </cell>
          <cell r="G7" t="str">
            <v>N</v>
          </cell>
        </row>
        <row r="8">
          <cell r="A8">
            <v>6</v>
          </cell>
          <cell r="B8" t="str">
            <v>Frederic Viou</v>
          </cell>
          <cell r="C8">
            <v>2</v>
          </cell>
          <cell r="F8" t="str">
            <v>emFavI</v>
          </cell>
          <cell r="G8" t="str">
            <v>Y</v>
          </cell>
        </row>
        <row r="9">
          <cell r="A9">
            <v>7</v>
          </cell>
          <cell r="B9" t="str">
            <v>Tim Holzer</v>
          </cell>
          <cell r="C9">
            <v>2</v>
          </cell>
          <cell r="F9" t="str">
            <v>TIRbwkSaCan;x&lt;s;</v>
          </cell>
          <cell r="G9" t="str">
            <v>N</v>
          </cell>
        </row>
        <row r="10">
          <cell r="A10">
            <v>8</v>
          </cell>
          <cell r="B10" t="str">
            <v>Svay Sothearavy</v>
          </cell>
          <cell r="C10">
            <v>2</v>
          </cell>
          <cell r="F10" t="str">
            <v>CMnYykarTIRwbikSa</v>
          </cell>
          <cell r="G10" t="str">
            <v>Y</v>
          </cell>
        </row>
        <row r="11">
          <cell r="A11">
            <v>9</v>
          </cell>
          <cell r="B11" t="str">
            <v>Men Sokha</v>
          </cell>
          <cell r="C11">
            <v>1</v>
          </cell>
          <cell r="F11" t="str">
            <v>GñkbkERb</v>
          </cell>
          <cell r="G11" t="str">
            <v>Y</v>
          </cell>
        </row>
        <row r="12">
          <cell r="A12">
            <v>10</v>
          </cell>
          <cell r="B12" t="str">
            <v>Seng Chanvireak</v>
          </cell>
          <cell r="C12">
            <v>1</v>
          </cell>
          <cell r="F12" t="str">
            <v>GñkbkERb</v>
          </cell>
          <cell r="G12" t="str">
            <v>Y</v>
          </cell>
        </row>
        <row r="13">
          <cell r="A13">
            <v>11</v>
          </cell>
          <cell r="B13" t="str">
            <v>Ouk Sinan</v>
          </cell>
          <cell r="C13">
            <v>1</v>
          </cell>
          <cell r="G13" t="str">
            <v>Y</v>
          </cell>
        </row>
        <row r="14">
          <cell r="A14">
            <v>12</v>
          </cell>
          <cell r="B14" t="str">
            <v>Sim Laysym</v>
          </cell>
          <cell r="C14">
            <v>2</v>
          </cell>
          <cell r="G14" t="str">
            <v>Y</v>
          </cell>
        </row>
        <row r="15">
          <cell r="A15">
            <v>13</v>
          </cell>
          <cell r="B15" t="str">
            <v>Guillaume Massin</v>
          </cell>
          <cell r="C15">
            <v>2</v>
          </cell>
          <cell r="G15" t="str">
            <v>N</v>
          </cell>
        </row>
        <row r="16">
          <cell r="A16">
            <v>14</v>
          </cell>
          <cell r="B16" t="str">
            <v>Nilusha Desilva</v>
          </cell>
          <cell r="C16">
            <v>2</v>
          </cell>
          <cell r="G16" t="str">
            <v>N</v>
          </cell>
        </row>
        <row r="17">
          <cell r="A17">
            <v>15</v>
          </cell>
          <cell r="B17" t="str">
            <v>Pauline Pradichit</v>
          </cell>
          <cell r="C17">
            <v>2</v>
          </cell>
          <cell r="G17" t="str">
            <v>N</v>
          </cell>
        </row>
        <row r="18">
          <cell r="A18">
            <v>16</v>
          </cell>
          <cell r="B18" t="str">
            <v>Seng Leung</v>
          </cell>
          <cell r="G18" t="str">
            <v>Y</v>
          </cell>
        </row>
        <row r="19">
          <cell r="A19">
            <v>17</v>
          </cell>
          <cell r="B19" t="str">
            <v>Bruce Cormack</v>
          </cell>
          <cell r="G19" t="str">
            <v>N</v>
          </cell>
        </row>
        <row r="20">
          <cell r="A20">
            <v>18</v>
          </cell>
          <cell r="B20" t="str">
            <v>Keo Chenda</v>
          </cell>
          <cell r="G20" t="str">
            <v>N</v>
          </cell>
        </row>
        <row r="21">
          <cell r="A21">
            <v>19</v>
          </cell>
          <cell r="B21" t="str">
            <v>Kathryn Ortega</v>
          </cell>
          <cell r="F21" t="str">
            <v>CMnYykarTIRwbikSa</v>
          </cell>
          <cell r="G21" t="str">
            <v>n</v>
          </cell>
        </row>
        <row r="22">
          <cell r="A22">
            <v>20</v>
          </cell>
          <cell r="B22" t="str">
            <v>Louise Hayward</v>
          </cell>
          <cell r="F22" t="str">
            <v>TIRbwkSa</v>
          </cell>
          <cell r="G22" t="str">
            <v>n</v>
          </cell>
        </row>
        <row r="23">
          <cell r="A23">
            <v>21</v>
          </cell>
          <cell r="B23" t="str">
            <v>Hep Seka</v>
          </cell>
        </row>
        <row r="24">
          <cell r="A24">
            <v>22</v>
          </cell>
          <cell r="B24" t="str">
            <v>Soem Borey</v>
          </cell>
        </row>
        <row r="25">
          <cell r="A25">
            <v>23</v>
          </cell>
          <cell r="B25" t="str">
            <v>Rachel Haig</v>
          </cell>
          <cell r="G25" t="str">
            <v>n</v>
          </cell>
        </row>
        <row r="26">
          <cell r="A26">
            <v>24</v>
          </cell>
          <cell r="B26" t="str">
            <v>Phin Savath</v>
          </cell>
        </row>
        <row r="27">
          <cell r="A27">
            <v>25</v>
          </cell>
          <cell r="B27" t="str">
            <v>Chhin Sida</v>
          </cell>
        </row>
        <row r="28">
          <cell r="A28">
            <v>26</v>
          </cell>
          <cell r="B28" t="str">
            <v>Tea Solika</v>
          </cell>
        </row>
        <row r="29">
          <cell r="A29">
            <v>27</v>
          </cell>
          <cell r="B29" t="str">
            <v>David Bowler</v>
          </cell>
          <cell r="G29" t="str">
            <v>n</v>
          </cell>
        </row>
        <row r="30">
          <cell r="A30">
            <v>28</v>
          </cell>
          <cell r="B30" t="str">
            <v>Trafford Gazsik</v>
          </cell>
          <cell r="G30" t="str">
            <v>n</v>
          </cell>
        </row>
        <row r="31">
          <cell r="A31">
            <v>29</v>
          </cell>
        </row>
        <row r="32">
          <cell r="A32">
            <v>30</v>
          </cell>
        </row>
        <row r="33">
          <cell r="A33">
            <v>31</v>
          </cell>
        </row>
        <row r="34">
          <cell r="A34">
            <v>32</v>
          </cell>
        </row>
        <row r="35">
          <cell r="A35">
            <v>33</v>
          </cell>
        </row>
        <row r="36">
          <cell r="A36">
            <v>34</v>
          </cell>
        </row>
        <row r="37">
          <cell r="A37">
            <v>35</v>
          </cell>
        </row>
        <row r="38">
          <cell r="A38">
            <v>36</v>
          </cell>
        </row>
        <row r="39">
          <cell r="A39">
            <v>37</v>
          </cell>
        </row>
        <row r="40">
          <cell r="A40">
            <v>38</v>
          </cell>
        </row>
        <row r="41">
          <cell r="A41">
            <v>39</v>
          </cell>
        </row>
        <row r="42">
          <cell r="A42">
            <v>40</v>
          </cell>
        </row>
        <row r="43">
          <cell r="A43">
            <v>41</v>
          </cell>
        </row>
        <row r="44">
          <cell r="A44">
            <v>42</v>
          </cell>
        </row>
        <row r="45">
          <cell r="A45">
            <v>43</v>
          </cell>
        </row>
        <row r="46">
          <cell r="A46">
            <v>44</v>
          </cell>
        </row>
        <row r="47">
          <cell r="A47">
            <v>45</v>
          </cell>
        </row>
        <row r="48">
          <cell r="A48">
            <v>46</v>
          </cell>
        </row>
        <row r="49">
          <cell r="A49">
            <v>47</v>
          </cell>
        </row>
        <row r="50">
          <cell r="A50">
            <v>48</v>
          </cell>
        </row>
        <row r="51">
          <cell r="A51">
            <v>49</v>
          </cell>
        </row>
        <row r="52">
          <cell r="A52">
            <v>50</v>
          </cell>
        </row>
        <row r="53">
          <cell r="A53">
            <v>51</v>
          </cell>
        </row>
        <row r="54">
          <cell r="A54">
            <v>52</v>
          </cell>
        </row>
        <row r="55">
          <cell r="A55">
            <v>53</v>
          </cell>
        </row>
        <row r="56">
          <cell r="A56">
            <v>54</v>
          </cell>
        </row>
        <row r="57">
          <cell r="A57">
            <v>55</v>
          </cell>
        </row>
        <row r="58">
          <cell r="A58">
            <v>56</v>
          </cell>
        </row>
        <row r="59">
          <cell r="A59">
            <v>57</v>
          </cell>
        </row>
        <row r="60">
          <cell r="A60">
            <v>58</v>
          </cell>
        </row>
      </sheetData>
      <sheetData sheetId="43"/>
    </sheetDataSet>
  </externalBook>
</externalLink>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2.bin"/><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00"/>
  <sheetViews>
    <sheetView zoomScale="95" zoomScaleNormal="95" workbookViewId="0">
      <selection activeCell="H1" sqref="H1:H1048576"/>
    </sheetView>
  </sheetViews>
  <sheetFormatPr defaultColWidth="9.28515625" defaultRowHeight="14.25" x14ac:dyDescent="0.2"/>
  <cols>
    <col min="1" max="1" width="4.7109375" style="1" customWidth="1"/>
    <col min="2" max="2" width="5.42578125" style="1" customWidth="1"/>
    <col min="3" max="3" width="29.7109375" style="1" bestFit="1" customWidth="1"/>
    <col min="4" max="4" width="15.28515625" style="2" bestFit="1" customWidth="1"/>
    <col min="5" max="5" width="5.28515625" style="2" customWidth="1"/>
    <col min="6" max="6" width="11.7109375" style="5" bestFit="1" customWidth="1"/>
    <col min="7" max="8" width="9.28515625" style="1"/>
    <col min="9" max="9" width="2.28515625" style="1" customWidth="1"/>
    <col min="10" max="10" width="62.7109375" style="1" customWidth="1"/>
    <col min="11" max="11" width="12.7109375" style="2" bestFit="1" customWidth="1"/>
    <col min="12" max="12" width="17.28515625" style="1" bestFit="1" customWidth="1"/>
    <col min="13" max="16384" width="9.28515625" style="1"/>
  </cols>
  <sheetData>
    <row r="1" spans="1:12" x14ac:dyDescent="0.2">
      <c r="A1" s="3" t="s">
        <v>39</v>
      </c>
      <c r="B1" s="3"/>
    </row>
    <row r="3" spans="1:12" x14ac:dyDescent="0.2">
      <c r="C3" s="3" t="s">
        <v>35</v>
      </c>
      <c r="F3" s="6" t="s">
        <v>40</v>
      </c>
      <c r="H3" s="3" t="s">
        <v>232</v>
      </c>
      <c r="L3" s="1">
        <v>4000</v>
      </c>
    </row>
    <row r="4" spans="1:12" x14ac:dyDescent="0.2">
      <c r="C4" s="1" t="s">
        <v>0</v>
      </c>
      <c r="D4" s="2">
        <v>34105</v>
      </c>
      <c r="F4" s="5" t="s">
        <v>62</v>
      </c>
      <c r="H4" s="1" t="s">
        <v>41</v>
      </c>
      <c r="I4" s="1" t="s">
        <v>231</v>
      </c>
      <c r="K4" s="4">
        <f>K5+K17</f>
        <v>92205</v>
      </c>
      <c r="L4" s="7">
        <f>K4*L3</f>
        <v>368820000</v>
      </c>
    </row>
    <row r="5" spans="1:12" x14ac:dyDescent="0.2">
      <c r="C5" s="1" t="s">
        <v>1</v>
      </c>
      <c r="D5" s="2">
        <v>8000</v>
      </c>
      <c r="F5" s="5" t="s">
        <v>59</v>
      </c>
      <c r="H5" s="1" t="s">
        <v>42</v>
      </c>
      <c r="I5" s="1" t="s">
        <v>138</v>
      </c>
      <c r="K5" s="4">
        <f>SUM(K6:K16)</f>
        <v>45100</v>
      </c>
    </row>
    <row r="6" spans="1:12" x14ac:dyDescent="0.2">
      <c r="C6" s="1" t="s">
        <v>2</v>
      </c>
      <c r="D6" s="12">
        <v>16500</v>
      </c>
      <c r="F6" s="13" t="s">
        <v>45</v>
      </c>
      <c r="H6" s="1" t="s">
        <v>43</v>
      </c>
      <c r="J6" s="1" t="s">
        <v>139</v>
      </c>
      <c r="K6" s="2">
        <f t="shared" ref="K6:K16" si="0">SUMIF($F$4:$F$43,H6,$D$4:$D$43)</f>
        <v>0</v>
      </c>
    </row>
    <row r="7" spans="1:12" x14ac:dyDescent="0.2">
      <c r="C7" s="1" t="s">
        <v>3</v>
      </c>
      <c r="D7" s="12">
        <v>-1600</v>
      </c>
      <c r="F7" s="13" t="s">
        <v>45</v>
      </c>
      <c r="H7" s="1" t="s">
        <v>44</v>
      </c>
      <c r="J7" s="1" t="s">
        <v>140</v>
      </c>
      <c r="K7" s="2">
        <f t="shared" si="0"/>
        <v>0</v>
      </c>
    </row>
    <row r="8" spans="1:12" x14ac:dyDescent="0.2">
      <c r="C8" s="1" t="s">
        <v>36</v>
      </c>
      <c r="D8" s="8">
        <v>6500</v>
      </c>
      <c r="F8" s="11" t="s">
        <v>53</v>
      </c>
      <c r="H8" s="1" t="s">
        <v>45</v>
      </c>
      <c r="J8" s="1" t="s">
        <v>141</v>
      </c>
      <c r="K8" s="12">
        <f t="shared" si="0"/>
        <v>14900</v>
      </c>
    </row>
    <row r="9" spans="1:12" x14ac:dyDescent="0.2">
      <c r="C9" s="1" t="s">
        <v>37</v>
      </c>
      <c r="D9" s="8">
        <v>-1600</v>
      </c>
      <c r="F9" s="11" t="s">
        <v>53</v>
      </c>
      <c r="H9" s="1" t="s">
        <v>46</v>
      </c>
      <c r="J9" s="1" t="s">
        <v>142</v>
      </c>
      <c r="K9" s="2">
        <f t="shared" si="0"/>
        <v>0</v>
      </c>
    </row>
    <row r="10" spans="1:12" x14ac:dyDescent="0.2">
      <c r="C10" s="1" t="s">
        <v>4</v>
      </c>
      <c r="D10" s="9">
        <v>8000</v>
      </c>
      <c r="F10" s="10" t="s">
        <v>48</v>
      </c>
      <c r="H10" s="1" t="s">
        <v>47</v>
      </c>
      <c r="J10" s="1" t="s">
        <v>143</v>
      </c>
      <c r="K10" s="2">
        <f t="shared" si="0"/>
        <v>0</v>
      </c>
    </row>
    <row r="11" spans="1:12" x14ac:dyDescent="0.2">
      <c r="C11" s="1" t="s">
        <v>5</v>
      </c>
      <c r="D11" s="9">
        <v>-2200</v>
      </c>
      <c r="F11" s="10" t="s">
        <v>48</v>
      </c>
      <c r="H11" s="1" t="s">
        <v>48</v>
      </c>
      <c r="J11" s="1" t="s">
        <v>144</v>
      </c>
      <c r="K11" s="9">
        <f t="shared" si="0"/>
        <v>5800</v>
      </c>
    </row>
    <row r="12" spans="1:12" x14ac:dyDescent="0.2">
      <c r="C12" s="1" t="s">
        <v>6</v>
      </c>
      <c r="D12" s="8">
        <v>15000</v>
      </c>
      <c r="F12" s="11" t="s">
        <v>53</v>
      </c>
      <c r="H12" s="1" t="s">
        <v>49</v>
      </c>
      <c r="J12" s="1" t="s">
        <v>145</v>
      </c>
      <c r="K12" s="2">
        <f t="shared" si="0"/>
        <v>0</v>
      </c>
    </row>
    <row r="13" spans="1:12" x14ac:dyDescent="0.2">
      <c r="C13" s="1" t="s">
        <v>7</v>
      </c>
      <c r="D13" s="8">
        <v>-3000</v>
      </c>
      <c r="F13" s="11" t="s">
        <v>53</v>
      </c>
      <c r="H13" s="1" t="s">
        <v>50</v>
      </c>
      <c r="J13" s="1" t="s">
        <v>146</v>
      </c>
      <c r="K13" s="2">
        <f t="shared" si="0"/>
        <v>0</v>
      </c>
    </row>
    <row r="14" spans="1:12" x14ac:dyDescent="0.2">
      <c r="C14" s="1" t="s">
        <v>8</v>
      </c>
      <c r="D14" s="8">
        <v>3500</v>
      </c>
      <c r="F14" s="11" t="s">
        <v>53</v>
      </c>
      <c r="H14" s="1" t="s">
        <v>51</v>
      </c>
      <c r="J14" s="1" t="s">
        <v>147</v>
      </c>
      <c r="K14" s="2">
        <f t="shared" si="0"/>
        <v>0</v>
      </c>
    </row>
    <row r="15" spans="1:12" x14ac:dyDescent="0.2">
      <c r="C15" s="1" t="s">
        <v>9</v>
      </c>
      <c r="D15" s="8">
        <v>-1000</v>
      </c>
      <c r="F15" s="11" t="s">
        <v>53</v>
      </c>
      <c r="H15" s="1" t="s">
        <v>52</v>
      </c>
      <c r="J15" s="1" t="s">
        <v>148</v>
      </c>
      <c r="K15" s="2">
        <f t="shared" si="0"/>
        <v>0</v>
      </c>
    </row>
    <row r="16" spans="1:12" x14ac:dyDescent="0.2">
      <c r="C16" s="1" t="s">
        <v>10</v>
      </c>
      <c r="D16" s="8">
        <v>5000</v>
      </c>
      <c r="F16" s="11" t="s">
        <v>53</v>
      </c>
      <c r="H16" s="1" t="s">
        <v>53</v>
      </c>
      <c r="J16" s="1" t="s">
        <v>149</v>
      </c>
      <c r="K16" s="8">
        <f t="shared" si="0"/>
        <v>24400</v>
      </c>
    </row>
    <row r="17" spans="3:11" x14ac:dyDescent="0.2">
      <c r="C17" s="1" t="s">
        <v>11</v>
      </c>
      <c r="D17" s="14">
        <v>5000</v>
      </c>
      <c r="F17" s="5" t="s">
        <v>61</v>
      </c>
      <c r="H17" s="1" t="s">
        <v>54</v>
      </c>
      <c r="I17" s="1" t="s">
        <v>150</v>
      </c>
      <c r="K17" s="4">
        <f>SUM(K18:K30)</f>
        <v>47105</v>
      </c>
    </row>
    <row r="18" spans="3:11" x14ac:dyDescent="0.2">
      <c r="H18" s="1" t="s">
        <v>55</v>
      </c>
      <c r="J18" s="1" t="s">
        <v>151</v>
      </c>
      <c r="K18" s="2">
        <f t="shared" ref="K18:K30" si="1">SUMIF($F$4:$F$43,H18,$D$4:$D$43)</f>
        <v>0</v>
      </c>
    </row>
    <row r="19" spans="3:11" x14ac:dyDescent="0.2">
      <c r="C19" s="1" t="s">
        <v>12</v>
      </c>
      <c r="D19" s="2">
        <v>-4500</v>
      </c>
      <c r="F19" s="5" t="s">
        <v>86</v>
      </c>
      <c r="H19" s="1" t="s">
        <v>56</v>
      </c>
      <c r="J19" s="1" t="s">
        <v>152</v>
      </c>
      <c r="K19" s="2">
        <f t="shared" si="1"/>
        <v>0</v>
      </c>
    </row>
    <row r="20" spans="3:11" x14ac:dyDescent="0.2">
      <c r="C20" s="1" t="s">
        <v>13</v>
      </c>
      <c r="D20" s="2">
        <v>-2500</v>
      </c>
      <c r="F20" s="5" t="s">
        <v>87</v>
      </c>
      <c r="H20" s="1" t="s">
        <v>57</v>
      </c>
      <c r="J20" s="1" t="s">
        <v>153</v>
      </c>
      <c r="K20" s="2">
        <f t="shared" si="1"/>
        <v>0</v>
      </c>
    </row>
    <row r="21" spans="3:11" x14ac:dyDescent="0.2">
      <c r="C21" s="1" t="s">
        <v>14</v>
      </c>
      <c r="D21" s="2">
        <v>-1500</v>
      </c>
      <c r="F21" s="5" t="s">
        <v>87</v>
      </c>
      <c r="H21" s="1" t="s">
        <v>58</v>
      </c>
      <c r="J21" s="1" t="s">
        <v>154</v>
      </c>
      <c r="K21" s="2">
        <f t="shared" si="1"/>
        <v>0</v>
      </c>
    </row>
    <row r="22" spans="3:11" x14ac:dyDescent="0.2">
      <c r="C22" s="1" t="s">
        <v>15</v>
      </c>
      <c r="D22" s="2">
        <v>-850</v>
      </c>
      <c r="F22" s="5" t="s">
        <v>90</v>
      </c>
      <c r="H22" s="1" t="s">
        <v>59</v>
      </c>
      <c r="J22" s="1" t="s">
        <v>155</v>
      </c>
      <c r="K22" s="2">
        <f t="shared" si="1"/>
        <v>8000</v>
      </c>
    </row>
    <row r="23" spans="3:11" x14ac:dyDescent="0.2">
      <c r="C23" s="1" t="s">
        <v>17</v>
      </c>
      <c r="D23" s="2">
        <v>-80000</v>
      </c>
      <c r="F23" s="5" t="s">
        <v>70</v>
      </c>
      <c r="H23" s="1" t="s">
        <v>60</v>
      </c>
      <c r="J23" s="1" t="s">
        <v>156</v>
      </c>
      <c r="K23" s="2">
        <f t="shared" si="1"/>
        <v>0</v>
      </c>
    </row>
    <row r="24" spans="3:11" x14ac:dyDescent="0.2">
      <c r="C24" s="1" t="s">
        <v>18</v>
      </c>
      <c r="D24" s="2">
        <v>-9200</v>
      </c>
      <c r="F24" s="5" t="s">
        <v>75</v>
      </c>
      <c r="H24" s="1" t="s">
        <v>61</v>
      </c>
      <c r="J24" s="1" t="s">
        <v>157</v>
      </c>
      <c r="K24" s="14">
        <f t="shared" si="1"/>
        <v>5000</v>
      </c>
    </row>
    <row r="25" spans="3:11" x14ac:dyDescent="0.2">
      <c r="C25" s="1" t="s">
        <v>19</v>
      </c>
      <c r="D25" s="2">
        <f>D45</f>
        <v>6345</v>
      </c>
      <c r="F25" s="5" t="s">
        <v>76</v>
      </c>
      <c r="H25" s="1" t="s">
        <v>62</v>
      </c>
      <c r="J25" s="1" t="s">
        <v>158</v>
      </c>
      <c r="K25" s="2">
        <f t="shared" si="1"/>
        <v>34105</v>
      </c>
    </row>
    <row r="26" spans="3:11" x14ac:dyDescent="0.2">
      <c r="H26" s="1" t="s">
        <v>63</v>
      </c>
      <c r="J26" s="1" t="s">
        <v>159</v>
      </c>
      <c r="K26" s="2">
        <f t="shared" si="1"/>
        <v>0</v>
      </c>
    </row>
    <row r="27" spans="3:11" x14ac:dyDescent="0.2">
      <c r="D27" s="2">
        <f>SUM(D3:D26)</f>
        <v>0</v>
      </c>
      <c r="H27" s="1" t="s">
        <v>64</v>
      </c>
      <c r="J27" s="1" t="s">
        <v>160</v>
      </c>
      <c r="K27" s="2">
        <f t="shared" si="1"/>
        <v>0</v>
      </c>
    </row>
    <row r="28" spans="3:11" x14ac:dyDescent="0.2">
      <c r="C28" s="3" t="s">
        <v>34</v>
      </c>
      <c r="H28" s="1" t="s">
        <v>65</v>
      </c>
      <c r="J28" s="1" t="s">
        <v>161</v>
      </c>
      <c r="K28" s="2">
        <f t="shared" si="1"/>
        <v>0</v>
      </c>
    </row>
    <row r="29" spans="3:11" x14ac:dyDescent="0.2">
      <c r="C29" s="1" t="s">
        <v>38</v>
      </c>
      <c r="D29" s="2">
        <v>-12000</v>
      </c>
      <c r="F29" s="5" t="s">
        <v>101</v>
      </c>
      <c r="H29" s="1" t="s">
        <v>66</v>
      </c>
      <c r="J29" s="1" t="s">
        <v>162</v>
      </c>
      <c r="K29" s="2">
        <f t="shared" si="1"/>
        <v>0</v>
      </c>
    </row>
    <row r="30" spans="3:11" x14ac:dyDescent="0.2">
      <c r="C30" s="1" t="s">
        <v>20</v>
      </c>
      <c r="D30" s="2">
        <v>-100</v>
      </c>
      <c r="F30" s="5" t="s">
        <v>103</v>
      </c>
      <c r="H30" s="1" t="s">
        <v>67</v>
      </c>
      <c r="J30" s="1" t="s">
        <v>163</v>
      </c>
      <c r="K30" s="2">
        <f t="shared" si="1"/>
        <v>0</v>
      </c>
    </row>
    <row r="31" spans="3:11" x14ac:dyDescent="0.2">
      <c r="C31" s="1" t="s">
        <v>21</v>
      </c>
      <c r="D31" s="2">
        <v>-850</v>
      </c>
      <c r="F31" s="5" t="s">
        <v>111</v>
      </c>
      <c r="H31" s="1" t="s">
        <v>68</v>
      </c>
      <c r="I31" s="1" t="s">
        <v>164</v>
      </c>
      <c r="K31" s="4">
        <f>K32+K40+K45</f>
        <v>-92205</v>
      </c>
    </row>
    <row r="32" spans="3:11" x14ac:dyDescent="0.2">
      <c r="C32" s="1" t="s">
        <v>22</v>
      </c>
      <c r="D32" s="2">
        <v>6000</v>
      </c>
      <c r="F32" s="5" t="s">
        <v>113</v>
      </c>
      <c r="H32" s="1" t="s">
        <v>69</v>
      </c>
      <c r="I32" s="1" t="s">
        <v>165</v>
      </c>
      <c r="K32" s="4">
        <f>SUM(K33:K39)</f>
        <v>-82855</v>
      </c>
    </row>
    <row r="33" spans="3:11" x14ac:dyDescent="0.2">
      <c r="C33" s="1" t="s">
        <v>33</v>
      </c>
      <c r="D33" s="2">
        <v>500</v>
      </c>
      <c r="F33" s="5" t="s">
        <v>114</v>
      </c>
      <c r="H33" s="1" t="s">
        <v>70</v>
      </c>
      <c r="J33" s="1" t="s">
        <v>166</v>
      </c>
      <c r="K33" s="2">
        <f t="shared" ref="K33:K39" si="2">SUMIF($F$4:$F$43,H33,$D$4:$D$43)</f>
        <v>-80000</v>
      </c>
    </row>
    <row r="34" spans="3:11" x14ac:dyDescent="0.2">
      <c r="C34" s="1" t="s">
        <v>23</v>
      </c>
      <c r="D34" s="2">
        <v>300</v>
      </c>
      <c r="F34" s="5" t="s">
        <v>115</v>
      </c>
      <c r="H34" s="1" t="s">
        <v>71</v>
      </c>
      <c r="J34" s="1" t="s">
        <v>167</v>
      </c>
      <c r="K34" s="2">
        <f t="shared" si="2"/>
        <v>0</v>
      </c>
    </row>
    <row r="35" spans="3:11" x14ac:dyDescent="0.2">
      <c r="C35" s="1" t="s">
        <v>24</v>
      </c>
      <c r="D35" s="2">
        <v>3000</v>
      </c>
      <c r="F35" s="5" t="s">
        <v>117</v>
      </c>
      <c r="H35" s="1" t="s">
        <v>72</v>
      </c>
      <c r="J35" s="1" t="s">
        <v>168</v>
      </c>
      <c r="K35" s="2">
        <f t="shared" si="2"/>
        <v>0</v>
      </c>
    </row>
    <row r="36" spans="3:11" x14ac:dyDescent="0.2">
      <c r="C36" s="1" t="s">
        <v>25</v>
      </c>
      <c r="D36" s="2">
        <v>700</v>
      </c>
      <c r="F36" s="5" t="s">
        <v>118</v>
      </c>
      <c r="H36" s="1" t="s">
        <v>73</v>
      </c>
      <c r="J36" s="1" t="s">
        <v>169</v>
      </c>
      <c r="K36" s="2">
        <f t="shared" si="2"/>
        <v>0</v>
      </c>
    </row>
    <row r="37" spans="3:11" x14ac:dyDescent="0.2">
      <c r="C37" s="1" t="s">
        <v>26</v>
      </c>
      <c r="D37" s="2">
        <v>1000</v>
      </c>
      <c r="F37" s="5" t="s">
        <v>123</v>
      </c>
      <c r="H37" s="1" t="s">
        <v>74</v>
      </c>
      <c r="J37" s="1" t="s">
        <v>170</v>
      </c>
      <c r="K37" s="2">
        <f t="shared" si="2"/>
        <v>0</v>
      </c>
    </row>
    <row r="38" spans="3:11" x14ac:dyDescent="0.2">
      <c r="C38" s="1" t="s">
        <v>32</v>
      </c>
      <c r="D38" s="2">
        <v>2800</v>
      </c>
      <c r="F38" s="5" t="s">
        <v>126</v>
      </c>
      <c r="H38" s="1" t="s">
        <v>75</v>
      </c>
      <c r="J38" s="1" t="s">
        <v>171</v>
      </c>
      <c r="K38" s="2">
        <f t="shared" si="2"/>
        <v>-9200</v>
      </c>
    </row>
    <row r="39" spans="3:11" x14ac:dyDescent="0.2">
      <c r="C39" s="1" t="s">
        <v>31</v>
      </c>
      <c r="D39" s="2">
        <v>845</v>
      </c>
      <c r="F39" s="5" t="s">
        <v>129</v>
      </c>
      <c r="H39" s="1" t="s">
        <v>76</v>
      </c>
      <c r="J39" s="1" t="s">
        <v>172</v>
      </c>
      <c r="K39" s="2">
        <f t="shared" si="2"/>
        <v>6345</v>
      </c>
    </row>
    <row r="40" spans="3:11" x14ac:dyDescent="0.2">
      <c r="C40" s="1" t="s">
        <v>27</v>
      </c>
      <c r="D40" s="2">
        <v>2050</v>
      </c>
      <c r="F40" s="5" t="s">
        <v>131</v>
      </c>
      <c r="H40" s="1" t="s">
        <v>77</v>
      </c>
      <c r="I40" s="1" t="s">
        <v>173</v>
      </c>
      <c r="K40" s="4">
        <f>SUM(K41:K44)</f>
        <v>0</v>
      </c>
    </row>
    <row r="41" spans="3:11" x14ac:dyDescent="0.2">
      <c r="C41" s="1" t="s">
        <v>28</v>
      </c>
      <c r="D41" s="2">
        <v>1000</v>
      </c>
      <c r="F41" s="5" t="s">
        <v>131</v>
      </c>
      <c r="H41" s="1" t="s">
        <v>78</v>
      </c>
      <c r="J41" s="1" t="s">
        <v>174</v>
      </c>
      <c r="K41" s="2">
        <f>SUMIF($F$4:$F$43,H41,$D$4:$D$43)</f>
        <v>0</v>
      </c>
    </row>
    <row r="42" spans="3:11" x14ac:dyDescent="0.2">
      <c r="C42" s="1" t="s">
        <v>29</v>
      </c>
      <c r="D42" s="2">
        <v>500</v>
      </c>
      <c r="F42" s="5" t="s">
        <v>131</v>
      </c>
      <c r="H42" s="1" t="s">
        <v>79</v>
      </c>
      <c r="J42" s="1" t="s">
        <v>175</v>
      </c>
      <c r="K42" s="2">
        <f>SUMIF($F$4:$F$43,H42,$D$4:$D$43)</f>
        <v>0</v>
      </c>
    </row>
    <row r="43" spans="3:11" x14ac:dyDescent="0.2">
      <c r="C43" s="1" t="s">
        <v>30</v>
      </c>
      <c r="D43" s="2">
        <v>600</v>
      </c>
      <c r="F43" s="5" t="s">
        <v>131</v>
      </c>
      <c r="H43" s="1" t="s">
        <v>80</v>
      </c>
      <c r="J43" s="1" t="s">
        <v>176</v>
      </c>
      <c r="K43" s="2">
        <f>SUMIF($F$4:$F$43,H43,$D$4:$D$43)</f>
        <v>0</v>
      </c>
    </row>
    <row r="44" spans="3:11" x14ac:dyDescent="0.2">
      <c r="H44" s="1" t="s">
        <v>81</v>
      </c>
      <c r="J44" s="1" t="s">
        <v>177</v>
      </c>
      <c r="K44" s="2">
        <f>SUMIF($F$4:$F$43,H44,$D$4:$D$43)</f>
        <v>0</v>
      </c>
    </row>
    <row r="45" spans="3:11" x14ac:dyDescent="0.2">
      <c r="D45" s="4">
        <f>SUM(D28:D44)</f>
        <v>6345</v>
      </c>
      <c r="H45" s="1" t="s">
        <v>82</v>
      </c>
      <c r="I45" s="1" t="s">
        <v>178</v>
      </c>
      <c r="K45" s="4">
        <f>SUM(K46:K54)</f>
        <v>-9350</v>
      </c>
    </row>
    <row r="46" spans="3:11" x14ac:dyDescent="0.2">
      <c r="H46" s="1" t="s">
        <v>83</v>
      </c>
      <c r="J46" s="1" t="s">
        <v>179</v>
      </c>
      <c r="K46" s="2">
        <f t="shared" ref="K46:K54" si="3">SUMIF($F$4:$F$43,H46,$D$4:$D$43)</f>
        <v>0</v>
      </c>
    </row>
    <row r="47" spans="3:11" x14ac:dyDescent="0.2">
      <c r="H47" s="1" t="s">
        <v>84</v>
      </c>
      <c r="J47" s="1" t="s">
        <v>180</v>
      </c>
      <c r="K47" s="2">
        <f t="shared" si="3"/>
        <v>0</v>
      </c>
    </row>
    <row r="48" spans="3:11" x14ac:dyDescent="0.2">
      <c r="H48" s="1" t="s">
        <v>85</v>
      </c>
      <c r="J48" s="1" t="s">
        <v>181</v>
      </c>
      <c r="K48" s="2">
        <f t="shared" si="3"/>
        <v>0</v>
      </c>
    </row>
    <row r="49" spans="8:11" x14ac:dyDescent="0.2">
      <c r="H49" s="1" t="s">
        <v>86</v>
      </c>
      <c r="J49" s="1" t="s">
        <v>182</v>
      </c>
      <c r="K49" s="2">
        <f t="shared" si="3"/>
        <v>-4500</v>
      </c>
    </row>
    <row r="50" spans="8:11" x14ac:dyDescent="0.2">
      <c r="H50" s="1" t="s">
        <v>87</v>
      </c>
      <c r="J50" s="1" t="s">
        <v>183</v>
      </c>
      <c r="K50" s="2">
        <f t="shared" si="3"/>
        <v>-4000</v>
      </c>
    </row>
    <row r="51" spans="8:11" x14ac:dyDescent="0.2">
      <c r="H51" s="1" t="s">
        <v>88</v>
      </c>
      <c r="J51" s="1" t="s">
        <v>176</v>
      </c>
      <c r="K51" s="2">
        <f t="shared" si="3"/>
        <v>0</v>
      </c>
    </row>
    <row r="52" spans="8:11" x14ac:dyDescent="0.2">
      <c r="H52" s="1" t="s">
        <v>89</v>
      </c>
      <c r="J52" s="1" t="s">
        <v>16</v>
      </c>
      <c r="K52" s="2">
        <f t="shared" si="3"/>
        <v>0</v>
      </c>
    </row>
    <row r="53" spans="8:11" x14ac:dyDescent="0.2">
      <c r="H53" s="1" t="s">
        <v>90</v>
      </c>
      <c r="J53" s="1" t="s">
        <v>184</v>
      </c>
      <c r="K53" s="2">
        <f t="shared" si="3"/>
        <v>-850</v>
      </c>
    </row>
    <row r="54" spans="8:11" x14ac:dyDescent="0.2">
      <c r="H54" s="1" t="s">
        <v>91</v>
      </c>
      <c r="J54" s="1" t="s">
        <v>185</v>
      </c>
      <c r="K54" s="2">
        <f t="shared" si="3"/>
        <v>0</v>
      </c>
    </row>
    <row r="55" spans="8:11" x14ac:dyDescent="0.2">
      <c r="H55" s="1" t="s">
        <v>92</v>
      </c>
      <c r="I55" s="1" t="s">
        <v>186</v>
      </c>
      <c r="K55" s="4">
        <f>SUM(K56:K58)</f>
        <v>0</v>
      </c>
    </row>
    <row r="56" spans="8:11" x14ac:dyDescent="0.2">
      <c r="H56" s="1" t="s">
        <v>93</v>
      </c>
      <c r="J56" s="1" t="s">
        <v>187</v>
      </c>
      <c r="K56" s="2">
        <f t="shared" ref="K56:K61" si="4">SUMIF($F$4:$F$43,H56,$D$4:$D$43)</f>
        <v>0</v>
      </c>
    </row>
    <row r="57" spans="8:11" x14ac:dyDescent="0.2">
      <c r="H57" s="1" t="s">
        <v>94</v>
      </c>
      <c r="J57" s="1" t="s">
        <v>188</v>
      </c>
      <c r="K57" s="2">
        <f t="shared" si="4"/>
        <v>0</v>
      </c>
    </row>
    <row r="58" spans="8:11" x14ac:dyDescent="0.2">
      <c r="H58" s="1" t="s">
        <v>95</v>
      </c>
      <c r="J58" s="1" t="s">
        <v>189</v>
      </c>
      <c r="K58" s="2">
        <f t="shared" si="4"/>
        <v>0</v>
      </c>
    </row>
    <row r="59" spans="8:11" x14ac:dyDescent="0.2">
      <c r="H59" s="1" t="s">
        <v>96</v>
      </c>
      <c r="J59" s="1" t="s">
        <v>190</v>
      </c>
      <c r="K59" s="2">
        <f t="shared" si="4"/>
        <v>0</v>
      </c>
    </row>
    <row r="60" spans="8:11" x14ac:dyDescent="0.2">
      <c r="H60" s="1" t="s">
        <v>97</v>
      </c>
      <c r="J60" s="1" t="s">
        <v>191</v>
      </c>
      <c r="K60" s="2">
        <f t="shared" si="4"/>
        <v>0</v>
      </c>
    </row>
    <row r="61" spans="8:11" x14ac:dyDescent="0.2">
      <c r="H61" s="1" t="s">
        <v>98</v>
      </c>
      <c r="J61" s="1" t="s">
        <v>192</v>
      </c>
      <c r="K61" s="2">
        <f t="shared" si="4"/>
        <v>0</v>
      </c>
    </row>
    <row r="62" spans="8:11" x14ac:dyDescent="0.2">
      <c r="H62" s="1" t="s">
        <v>99</v>
      </c>
      <c r="I62" s="1" t="s">
        <v>193</v>
      </c>
      <c r="K62" s="4">
        <f>K55-K59-K60-K61</f>
        <v>0</v>
      </c>
    </row>
    <row r="63" spans="8:11" x14ac:dyDescent="0.2">
      <c r="H63" s="1" t="s">
        <v>100</v>
      </c>
      <c r="I63" s="1" t="s">
        <v>194</v>
      </c>
      <c r="K63" s="4">
        <f>SUM(K64:K74)</f>
        <v>-12950</v>
      </c>
    </row>
    <row r="64" spans="8:11" x14ac:dyDescent="0.2">
      <c r="H64" s="1" t="s">
        <v>101</v>
      </c>
      <c r="J64" s="1" t="s">
        <v>195</v>
      </c>
      <c r="K64" s="2">
        <f t="shared" ref="K64:K74" si="5">SUMIF($F$4:$F$43,H64,$D$4:$D$43)</f>
        <v>-12000</v>
      </c>
    </row>
    <row r="65" spans="8:11" x14ac:dyDescent="0.2">
      <c r="H65" s="1" t="s">
        <v>102</v>
      </c>
      <c r="J65" s="1" t="s">
        <v>196</v>
      </c>
      <c r="K65" s="2">
        <f t="shared" si="5"/>
        <v>0</v>
      </c>
    </row>
    <row r="66" spans="8:11" x14ac:dyDescent="0.2">
      <c r="H66" s="1" t="s">
        <v>103</v>
      </c>
      <c r="J66" s="1" t="s">
        <v>197</v>
      </c>
      <c r="K66" s="2">
        <f t="shared" si="5"/>
        <v>-100</v>
      </c>
    </row>
    <row r="67" spans="8:11" x14ac:dyDescent="0.2">
      <c r="H67" s="1" t="s">
        <v>104</v>
      </c>
      <c r="J67" s="1" t="s">
        <v>198</v>
      </c>
      <c r="K67" s="2">
        <f t="shared" si="5"/>
        <v>0</v>
      </c>
    </row>
    <row r="68" spans="8:11" x14ac:dyDescent="0.2">
      <c r="H68" s="1" t="s">
        <v>105</v>
      </c>
      <c r="J68" s="1" t="s">
        <v>199</v>
      </c>
      <c r="K68" s="2">
        <f t="shared" si="5"/>
        <v>0</v>
      </c>
    </row>
    <row r="69" spans="8:11" x14ac:dyDescent="0.2">
      <c r="H69" s="1" t="s">
        <v>106</v>
      </c>
      <c r="J69" s="1" t="s">
        <v>200</v>
      </c>
      <c r="K69" s="2">
        <f t="shared" si="5"/>
        <v>0</v>
      </c>
    </row>
    <row r="70" spans="8:11" x14ac:dyDescent="0.2">
      <c r="H70" s="1" t="s">
        <v>107</v>
      </c>
      <c r="J70" s="1" t="s">
        <v>201</v>
      </c>
      <c r="K70" s="2">
        <f t="shared" si="5"/>
        <v>0</v>
      </c>
    </row>
    <row r="71" spans="8:11" x14ac:dyDescent="0.2">
      <c r="H71" s="1" t="s">
        <v>108</v>
      </c>
      <c r="J71" s="1" t="s">
        <v>202</v>
      </c>
      <c r="K71" s="2">
        <f t="shared" si="5"/>
        <v>0</v>
      </c>
    </row>
    <row r="72" spans="8:11" x14ac:dyDescent="0.2">
      <c r="H72" s="1" t="s">
        <v>109</v>
      </c>
      <c r="J72" s="1" t="s">
        <v>203</v>
      </c>
      <c r="K72" s="2">
        <f t="shared" si="5"/>
        <v>0</v>
      </c>
    </row>
    <row r="73" spans="8:11" x14ac:dyDescent="0.2">
      <c r="H73" s="1" t="s">
        <v>110</v>
      </c>
      <c r="J73" s="1" t="s">
        <v>204</v>
      </c>
      <c r="K73" s="2">
        <f t="shared" si="5"/>
        <v>0</v>
      </c>
    </row>
    <row r="74" spans="8:11" x14ac:dyDescent="0.2">
      <c r="H74" s="1" t="s">
        <v>111</v>
      </c>
      <c r="J74" s="1" t="s">
        <v>205</v>
      </c>
      <c r="K74" s="2">
        <f t="shared" si="5"/>
        <v>-850</v>
      </c>
    </row>
    <row r="75" spans="8:11" x14ac:dyDescent="0.2">
      <c r="H75" s="1" t="s">
        <v>112</v>
      </c>
      <c r="I75" s="1" t="s">
        <v>206</v>
      </c>
      <c r="K75" s="4">
        <f>SUM(K76:K94)</f>
        <v>19295</v>
      </c>
    </row>
    <row r="76" spans="8:11" x14ac:dyDescent="0.2">
      <c r="H76" s="1" t="s">
        <v>113</v>
      </c>
      <c r="J76" s="1" t="s">
        <v>22</v>
      </c>
      <c r="K76" s="2">
        <f t="shared" ref="K76:K94" si="6">SUMIF($F$4:$F$43,H76,$D$4:$D$43)</f>
        <v>6000</v>
      </c>
    </row>
    <row r="77" spans="8:11" x14ac:dyDescent="0.2">
      <c r="H77" s="1" t="s">
        <v>114</v>
      </c>
      <c r="J77" s="1" t="s">
        <v>207</v>
      </c>
      <c r="K77" s="2">
        <f t="shared" si="6"/>
        <v>500</v>
      </c>
    </row>
    <row r="78" spans="8:11" x14ac:dyDescent="0.2">
      <c r="H78" s="1" t="s">
        <v>115</v>
      </c>
      <c r="J78" s="1" t="s">
        <v>208</v>
      </c>
      <c r="K78" s="2">
        <f t="shared" si="6"/>
        <v>300</v>
      </c>
    </row>
    <row r="79" spans="8:11" x14ac:dyDescent="0.2">
      <c r="H79" s="1" t="s">
        <v>116</v>
      </c>
      <c r="J79" s="1" t="s">
        <v>209</v>
      </c>
      <c r="K79" s="2">
        <f t="shared" si="6"/>
        <v>0</v>
      </c>
    </row>
    <row r="80" spans="8:11" x14ac:dyDescent="0.2">
      <c r="H80" s="1" t="s">
        <v>117</v>
      </c>
      <c r="J80" s="1" t="s">
        <v>210</v>
      </c>
      <c r="K80" s="2">
        <f t="shared" si="6"/>
        <v>3000</v>
      </c>
    </row>
    <row r="81" spans="8:11" x14ac:dyDescent="0.2">
      <c r="H81" s="1" t="s">
        <v>118</v>
      </c>
      <c r="J81" s="1" t="s">
        <v>211</v>
      </c>
      <c r="K81" s="2">
        <f t="shared" si="6"/>
        <v>700</v>
      </c>
    </row>
    <row r="82" spans="8:11" x14ac:dyDescent="0.2">
      <c r="H82" s="1" t="s">
        <v>119</v>
      </c>
      <c r="J82" s="1" t="s">
        <v>212</v>
      </c>
      <c r="K82" s="2">
        <f t="shared" si="6"/>
        <v>0</v>
      </c>
    </row>
    <row r="83" spans="8:11" x14ac:dyDescent="0.2">
      <c r="H83" s="1" t="s">
        <v>120</v>
      </c>
      <c r="J83" s="1" t="s">
        <v>213</v>
      </c>
      <c r="K83" s="2">
        <f t="shared" si="6"/>
        <v>0</v>
      </c>
    </row>
    <row r="84" spans="8:11" x14ac:dyDescent="0.2">
      <c r="H84" s="1" t="s">
        <v>121</v>
      </c>
      <c r="J84" s="1" t="s">
        <v>214</v>
      </c>
      <c r="K84" s="2">
        <f t="shared" si="6"/>
        <v>0</v>
      </c>
    </row>
    <row r="85" spans="8:11" x14ac:dyDescent="0.2">
      <c r="H85" s="1" t="s">
        <v>122</v>
      </c>
      <c r="J85" s="1" t="s">
        <v>215</v>
      </c>
      <c r="K85" s="2">
        <f t="shared" si="6"/>
        <v>0</v>
      </c>
    </row>
    <row r="86" spans="8:11" x14ac:dyDescent="0.2">
      <c r="H86" s="1" t="s">
        <v>123</v>
      </c>
      <c r="J86" s="1" t="s">
        <v>216</v>
      </c>
      <c r="K86" s="2">
        <f t="shared" si="6"/>
        <v>1000</v>
      </c>
    </row>
    <row r="87" spans="8:11" x14ac:dyDescent="0.2">
      <c r="H87" s="1" t="s">
        <v>124</v>
      </c>
      <c r="J87" s="1" t="s">
        <v>217</v>
      </c>
      <c r="K87" s="2">
        <f t="shared" si="6"/>
        <v>0</v>
      </c>
    </row>
    <row r="88" spans="8:11" x14ac:dyDescent="0.2">
      <c r="H88" s="1" t="s">
        <v>125</v>
      </c>
      <c r="J88" s="1" t="s">
        <v>218</v>
      </c>
      <c r="K88" s="2">
        <f t="shared" si="6"/>
        <v>0</v>
      </c>
    </row>
    <row r="89" spans="8:11" x14ac:dyDescent="0.2">
      <c r="H89" s="1" t="s">
        <v>126</v>
      </c>
      <c r="J89" s="1" t="s">
        <v>219</v>
      </c>
      <c r="K89" s="2">
        <f t="shared" si="6"/>
        <v>2800</v>
      </c>
    </row>
    <row r="90" spans="8:11" x14ac:dyDescent="0.2">
      <c r="H90" s="1" t="s">
        <v>127</v>
      </c>
      <c r="J90" s="1" t="s">
        <v>220</v>
      </c>
      <c r="K90" s="2">
        <f t="shared" si="6"/>
        <v>0</v>
      </c>
    </row>
    <row r="91" spans="8:11" x14ac:dyDescent="0.2">
      <c r="H91" s="1" t="s">
        <v>128</v>
      </c>
      <c r="J91" s="1" t="s">
        <v>221</v>
      </c>
      <c r="K91" s="2">
        <f t="shared" si="6"/>
        <v>0</v>
      </c>
    </row>
    <row r="92" spans="8:11" x14ac:dyDescent="0.2">
      <c r="H92" s="1" t="s">
        <v>129</v>
      </c>
      <c r="J92" s="1" t="s">
        <v>222</v>
      </c>
      <c r="K92" s="2">
        <f t="shared" si="6"/>
        <v>845</v>
      </c>
    </row>
    <row r="93" spans="8:11" x14ac:dyDescent="0.2">
      <c r="H93" s="1" t="s">
        <v>130</v>
      </c>
      <c r="J93" s="1" t="s">
        <v>223</v>
      </c>
      <c r="K93" s="2">
        <f t="shared" si="6"/>
        <v>0</v>
      </c>
    </row>
    <row r="94" spans="8:11" x14ac:dyDescent="0.2">
      <c r="H94" s="1" t="s">
        <v>131</v>
      </c>
      <c r="J94" s="1" t="s">
        <v>224</v>
      </c>
      <c r="K94" s="2">
        <f t="shared" si="6"/>
        <v>4150</v>
      </c>
    </row>
    <row r="95" spans="8:11" x14ac:dyDescent="0.2">
      <c r="H95" s="1" t="s">
        <v>132</v>
      </c>
      <c r="I95" s="1" t="s">
        <v>225</v>
      </c>
      <c r="K95" s="4">
        <f>K62+K63-K75</f>
        <v>-32245</v>
      </c>
    </row>
    <row r="96" spans="8:11" x14ac:dyDescent="0.2">
      <c r="H96" s="1" t="s">
        <v>133</v>
      </c>
      <c r="J96" s="1" t="s">
        <v>226</v>
      </c>
      <c r="K96" s="2">
        <f>SUMIF($F$4:$F$43,H96,$D$4:$D$43)</f>
        <v>0</v>
      </c>
    </row>
    <row r="97" spans="8:11" x14ac:dyDescent="0.2">
      <c r="H97" s="1" t="s">
        <v>134</v>
      </c>
      <c r="J97" s="1" t="s">
        <v>227</v>
      </c>
      <c r="K97" s="2">
        <f>SUMIF($F$4:$F$43,H97,$D$4:$D$43)</f>
        <v>0</v>
      </c>
    </row>
    <row r="98" spans="8:11" x14ac:dyDescent="0.2">
      <c r="H98" s="1" t="s">
        <v>135</v>
      </c>
      <c r="I98" s="1" t="s">
        <v>228</v>
      </c>
      <c r="K98" s="4">
        <f>K95-K96-K97</f>
        <v>-32245</v>
      </c>
    </row>
    <row r="99" spans="8:11" x14ac:dyDescent="0.2">
      <c r="H99" s="1" t="s">
        <v>136</v>
      </c>
      <c r="J99" s="1" t="s">
        <v>229</v>
      </c>
      <c r="K99" s="2">
        <f>SUMIF($F$4:$F$43,H99,$D$4:$D$43)</f>
        <v>0</v>
      </c>
    </row>
    <row r="100" spans="8:11" x14ac:dyDescent="0.2">
      <c r="H100" s="1" t="s">
        <v>137</v>
      </c>
      <c r="I100" s="1" t="s">
        <v>230</v>
      </c>
      <c r="K100" s="4">
        <f>K98-K99</f>
        <v>-32245</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J112"/>
  <sheetViews>
    <sheetView workbookViewId="0">
      <pane xSplit="7" ySplit="1" topLeftCell="H67" activePane="bottomRight" state="frozenSplit"/>
      <selection pane="topRight" activeCell="G1" sqref="G1"/>
      <selection pane="bottomLeft" activeCell="A2" sqref="A2"/>
      <selection pane="bottomRight" activeCell="N75" sqref="N75"/>
    </sheetView>
  </sheetViews>
  <sheetFormatPr defaultRowHeight="15" x14ac:dyDescent="0.25"/>
  <cols>
    <col min="2" max="6" width="3" style="23" customWidth="1"/>
    <col min="7" max="7" width="28.28515625" style="23" customWidth="1"/>
    <col min="8" max="8" width="2.28515625" customWidth="1"/>
    <col min="9" max="9" width="8.7109375" bestFit="1" customWidth="1"/>
    <col min="10" max="10" width="10.28515625" bestFit="1" customWidth="1"/>
  </cols>
  <sheetData>
    <row r="1" spans="1:9" s="18" customFormat="1" ht="15.75" thickBot="1" x14ac:dyDescent="0.3">
      <c r="B1" s="16"/>
      <c r="C1" s="16"/>
      <c r="D1" s="16"/>
      <c r="E1" s="16"/>
      <c r="F1" s="16"/>
      <c r="G1" s="16"/>
      <c r="H1" s="109"/>
      <c r="I1" s="17" t="s">
        <v>588</v>
      </c>
    </row>
    <row r="2" spans="1:9" ht="15.4" customHeight="1" thickTop="1" x14ac:dyDescent="0.25">
      <c r="B2" s="15"/>
      <c r="C2" s="15"/>
      <c r="D2" s="15" t="s">
        <v>234</v>
      </c>
      <c r="E2" s="15"/>
      <c r="F2" s="15"/>
      <c r="G2" s="15"/>
      <c r="H2" s="110"/>
      <c r="I2" s="19"/>
    </row>
    <row r="3" spans="1:9" ht="13.5" customHeight="1" x14ac:dyDescent="0.25">
      <c r="B3" s="15"/>
      <c r="C3" s="15"/>
      <c r="D3" s="15"/>
      <c r="E3" s="15" t="s">
        <v>378</v>
      </c>
      <c r="F3" s="15"/>
      <c r="G3" s="15"/>
      <c r="H3" s="110"/>
      <c r="I3" s="19"/>
    </row>
    <row r="4" spans="1:9" ht="15.75" thickTop="1" x14ac:dyDescent="0.25">
      <c r="A4" s="25" t="s">
        <v>101</v>
      </c>
      <c r="B4" s="15"/>
      <c r="C4" s="15"/>
      <c r="D4" s="15"/>
      <c r="E4" s="15"/>
      <c r="F4" s="15" t="s">
        <v>594</v>
      </c>
      <c r="G4" s="15"/>
      <c r="H4" s="110"/>
      <c r="I4" s="130">
        <f>287182</f>
        <v>287182</v>
      </c>
    </row>
    <row r="5" spans="1:9" ht="15.75" thickTop="1" x14ac:dyDescent="0.25">
      <c r="A5" s="25" t="s">
        <v>101</v>
      </c>
      <c r="B5" s="15"/>
      <c r="C5" s="15"/>
      <c r="D5" s="15"/>
      <c r="E5" s="15"/>
      <c r="F5" s="15" t="s">
        <v>590</v>
      </c>
      <c r="G5" s="15"/>
      <c r="H5" s="110"/>
      <c r="I5" s="130">
        <f>32979.36</f>
        <v>32979.360000000001</v>
      </c>
    </row>
    <row r="6" spans="1:9" ht="15.75" thickTop="1" x14ac:dyDescent="0.25">
      <c r="A6" s="25" t="s">
        <v>101</v>
      </c>
      <c r="B6" s="15"/>
      <c r="C6" s="15"/>
      <c r="D6" s="15"/>
      <c r="E6" s="15"/>
      <c r="F6" s="15" t="s">
        <v>591</v>
      </c>
      <c r="G6" s="15"/>
      <c r="H6" s="110"/>
      <c r="I6" s="130">
        <f>940.29</f>
        <v>940.29</v>
      </c>
    </row>
    <row r="7" spans="1:9" ht="15.75" thickTop="1" x14ac:dyDescent="0.25">
      <c r="A7" s="25" t="s">
        <v>101</v>
      </c>
      <c r="B7" s="15"/>
      <c r="C7" s="15"/>
      <c r="D7" s="15"/>
      <c r="E7" s="15"/>
      <c r="F7" s="15" t="s">
        <v>589</v>
      </c>
      <c r="G7" s="134"/>
      <c r="H7" s="110"/>
      <c r="I7" s="130">
        <f>53953.79</f>
        <v>53953.79</v>
      </c>
    </row>
    <row r="8" spans="1:9" ht="15.75" thickTop="1" x14ac:dyDescent="0.25">
      <c r="A8" s="25" t="s">
        <v>101</v>
      </c>
      <c r="B8" s="15"/>
      <c r="C8" s="15"/>
      <c r="D8" s="15"/>
      <c r="E8" s="15"/>
      <c r="F8" s="15" t="s">
        <v>474</v>
      </c>
      <c r="G8" s="15"/>
      <c r="H8" s="110"/>
      <c r="I8" s="130">
        <f>100000</f>
        <v>100000</v>
      </c>
    </row>
    <row r="9" spans="1:9" ht="15.75" thickTop="1" x14ac:dyDescent="0.25">
      <c r="A9" s="25" t="s">
        <v>101</v>
      </c>
      <c r="B9" s="15"/>
      <c r="C9" s="15"/>
      <c r="D9" s="15"/>
      <c r="E9" s="15"/>
      <c r="F9" s="15" t="s">
        <v>592</v>
      </c>
      <c r="G9" s="15"/>
      <c r="H9" s="110"/>
      <c r="I9" s="130">
        <f>807.54</f>
        <v>807.54</v>
      </c>
    </row>
    <row r="10" spans="1:9" ht="15.75" thickTop="1" x14ac:dyDescent="0.25">
      <c r="A10" s="25" t="s">
        <v>101</v>
      </c>
      <c r="B10" s="15"/>
      <c r="C10" s="15"/>
      <c r="D10" s="15"/>
      <c r="E10" s="15"/>
      <c r="F10" s="15" t="s">
        <v>593</v>
      </c>
      <c r="G10" s="15"/>
      <c r="H10" s="110"/>
      <c r="I10" s="130">
        <f>1379.77</f>
        <v>1379.77</v>
      </c>
    </row>
    <row r="11" spans="1:9" ht="15.75" thickTop="1" x14ac:dyDescent="0.25">
      <c r="B11" s="15"/>
      <c r="C11" s="15"/>
      <c r="D11" s="15"/>
      <c r="E11" s="15" t="s">
        <v>379</v>
      </c>
      <c r="F11" s="15"/>
      <c r="G11" s="15"/>
      <c r="H11" s="110"/>
      <c r="I11" s="21">
        <f>ROUND(SUM(I3:I10),5)</f>
        <v>477242.75</v>
      </c>
    </row>
    <row r="12" spans="1:9" ht="16.5" thickTop="1" thickBot="1" x14ac:dyDescent="0.3">
      <c r="B12" s="15"/>
      <c r="C12" s="15"/>
      <c r="D12" s="15" t="s">
        <v>235</v>
      </c>
      <c r="E12" s="15"/>
      <c r="F12" s="15"/>
      <c r="G12" s="15"/>
      <c r="H12" s="110"/>
      <c r="I12" s="20">
        <f>ROUND(I2+I11,5)</f>
        <v>477242.75</v>
      </c>
    </row>
    <row r="13" spans="1:9" ht="15.75" thickTop="1" x14ac:dyDescent="0.25">
      <c r="B13" s="15"/>
      <c r="C13" s="15" t="s">
        <v>236</v>
      </c>
      <c r="D13" s="15"/>
      <c r="E13" s="15"/>
      <c r="F13" s="15"/>
      <c r="G13" s="15"/>
      <c r="H13" s="110"/>
      <c r="I13" s="19">
        <f>I12</f>
        <v>477242.75</v>
      </c>
    </row>
    <row r="14" spans="1:9" ht="15.75" thickTop="1" x14ac:dyDescent="0.25">
      <c r="B14" s="15"/>
      <c r="C14" s="15"/>
      <c r="D14" s="15" t="s">
        <v>237</v>
      </c>
      <c r="E14" s="15"/>
      <c r="F14" s="15"/>
      <c r="G14" s="15"/>
      <c r="H14" s="110"/>
      <c r="I14" s="19"/>
    </row>
    <row r="15" spans="1:9" ht="15.75" thickTop="1" x14ac:dyDescent="0.25">
      <c r="B15" s="15"/>
      <c r="C15" s="15"/>
      <c r="D15" s="15"/>
      <c r="E15" s="15" t="s">
        <v>380</v>
      </c>
      <c r="F15" s="15"/>
      <c r="G15" s="15"/>
      <c r="H15" s="110"/>
      <c r="I15" s="19"/>
    </row>
    <row r="16" spans="1:9" ht="15.75" thickTop="1" x14ac:dyDescent="0.25">
      <c r="B16" s="15"/>
      <c r="C16" s="15"/>
      <c r="D16" s="15"/>
      <c r="E16" s="15"/>
      <c r="F16" s="15" t="s">
        <v>381</v>
      </c>
      <c r="G16" s="15"/>
      <c r="H16" s="110"/>
      <c r="I16" s="19"/>
    </row>
    <row r="17" spans="1:9" ht="15.75" thickTop="1" x14ac:dyDescent="0.25">
      <c r="A17" t="s">
        <v>115</v>
      </c>
      <c r="B17" s="15"/>
      <c r="C17" s="15"/>
      <c r="D17" s="15"/>
      <c r="E17" s="15"/>
      <c r="F17" s="15"/>
      <c r="G17" s="15" t="s">
        <v>382</v>
      </c>
      <c r="H17" s="110"/>
      <c r="I17" s="130">
        <f>6474.98</f>
        <v>6474.98</v>
      </c>
    </row>
    <row r="18" spans="1:9" ht="15.75" thickTop="1" x14ac:dyDescent="0.25">
      <c r="A18" t="s">
        <v>116</v>
      </c>
      <c r="B18" s="15"/>
      <c r="C18" s="15"/>
      <c r="D18" s="15"/>
      <c r="E18" s="15"/>
      <c r="F18" s="15"/>
      <c r="G18" s="15" t="s">
        <v>383</v>
      </c>
      <c r="H18" s="110"/>
      <c r="I18" s="130">
        <f>9393.58</f>
        <v>9393.58</v>
      </c>
    </row>
    <row r="19" spans="1:9" x14ac:dyDescent="0.25">
      <c r="A19" t="s">
        <v>115</v>
      </c>
      <c r="B19" s="15"/>
      <c r="C19" s="15"/>
      <c r="D19" s="15"/>
      <c r="E19" s="15"/>
      <c r="F19" s="15"/>
      <c r="G19" s="15" t="s">
        <v>384</v>
      </c>
      <c r="H19" s="110"/>
      <c r="I19" s="130">
        <f>62538.73</f>
        <v>62538.73</v>
      </c>
    </row>
    <row r="20" spans="1:9" x14ac:dyDescent="0.25">
      <c r="A20" s="108" t="s">
        <v>131</v>
      </c>
      <c r="B20" s="15"/>
      <c r="C20" s="15"/>
      <c r="D20" s="15"/>
      <c r="E20" s="15"/>
      <c r="F20" s="15"/>
      <c r="G20" s="15" t="s">
        <v>385</v>
      </c>
      <c r="H20" s="110"/>
      <c r="I20" s="130">
        <f>14812.31</f>
        <v>14812.31</v>
      </c>
    </row>
    <row r="21" spans="1:9" x14ac:dyDescent="0.25">
      <c r="A21" s="108" t="s">
        <v>131</v>
      </c>
      <c r="B21" s="15"/>
      <c r="C21" s="15"/>
      <c r="D21" s="15"/>
      <c r="E21" s="15"/>
      <c r="F21" s="15"/>
      <c r="G21" s="15" t="s">
        <v>386</v>
      </c>
      <c r="H21" s="110"/>
      <c r="I21" s="130">
        <f>846.89</f>
        <v>846.89</v>
      </c>
    </row>
    <row r="22" spans="1:9" x14ac:dyDescent="0.25">
      <c r="A22" s="108" t="s">
        <v>131</v>
      </c>
      <c r="B22" s="15"/>
      <c r="C22" s="15"/>
      <c r="D22" s="15"/>
      <c r="E22" s="15"/>
      <c r="F22" s="15"/>
      <c r="G22" s="15" t="s">
        <v>387</v>
      </c>
      <c r="H22" s="110"/>
      <c r="I22" s="130">
        <f>25</f>
        <v>25</v>
      </c>
    </row>
    <row r="23" spans="1:9" x14ac:dyDescent="0.25">
      <c r="A23" s="108" t="s">
        <v>131</v>
      </c>
      <c r="B23" s="15"/>
      <c r="C23" s="15"/>
      <c r="D23" s="15"/>
      <c r="E23" s="15"/>
      <c r="F23" s="15"/>
      <c r="G23" s="15" t="s">
        <v>388</v>
      </c>
      <c r="H23" s="110"/>
      <c r="I23" s="130">
        <f>45.75</f>
        <v>45.75</v>
      </c>
    </row>
    <row r="24" spans="1:9" x14ac:dyDescent="0.25">
      <c r="A24" s="108" t="s">
        <v>131</v>
      </c>
      <c r="B24" s="15"/>
      <c r="C24" s="15"/>
      <c r="D24" s="15"/>
      <c r="E24" s="15"/>
      <c r="F24" s="15"/>
      <c r="G24" s="15" t="s">
        <v>389</v>
      </c>
      <c r="H24" s="110"/>
      <c r="I24" s="130">
        <f>3004.24</f>
        <v>3004.24</v>
      </c>
    </row>
    <row r="25" spans="1:9" x14ac:dyDescent="0.25">
      <c r="A25" s="108" t="s">
        <v>131</v>
      </c>
      <c r="B25" s="15"/>
      <c r="C25" s="15"/>
      <c r="D25" s="15"/>
      <c r="E25" s="15"/>
      <c r="F25" s="15"/>
      <c r="G25" s="15" t="s">
        <v>595</v>
      </c>
      <c r="H25" s="110"/>
      <c r="I25" s="130">
        <f>216.57</f>
        <v>216.57</v>
      </c>
    </row>
    <row r="26" spans="1:9" x14ac:dyDescent="0.25">
      <c r="A26" s="108" t="s">
        <v>131</v>
      </c>
      <c r="B26" s="15"/>
      <c r="C26" s="15"/>
      <c r="D26" s="15"/>
      <c r="E26" s="15"/>
      <c r="F26" s="15"/>
      <c r="G26" s="15" t="s">
        <v>459</v>
      </c>
      <c r="H26" s="110"/>
      <c r="I26" s="130">
        <f>85</f>
        <v>85</v>
      </c>
    </row>
    <row r="27" spans="1:9" x14ac:dyDescent="0.25">
      <c r="A27" s="108" t="s">
        <v>131</v>
      </c>
      <c r="B27" s="15"/>
      <c r="C27" s="15"/>
      <c r="D27" s="15"/>
      <c r="E27" s="15"/>
      <c r="F27" s="15"/>
      <c r="G27" s="15" t="s">
        <v>460</v>
      </c>
      <c r="H27" s="110"/>
      <c r="I27" s="130">
        <f>894.61</f>
        <v>894.61</v>
      </c>
    </row>
    <row r="28" spans="1:9" x14ac:dyDescent="0.25">
      <c r="A28" s="108" t="s">
        <v>131</v>
      </c>
      <c r="B28" s="15"/>
      <c r="C28" s="15"/>
      <c r="D28" s="15"/>
      <c r="E28" s="15"/>
      <c r="F28" s="15"/>
      <c r="G28" s="15" t="s">
        <v>390</v>
      </c>
      <c r="H28" s="110"/>
      <c r="I28" s="130">
        <f>1029.34</f>
        <v>1029.3399999999999</v>
      </c>
    </row>
    <row r="29" spans="1:9" x14ac:dyDescent="0.25">
      <c r="A29" s="108" t="s">
        <v>131</v>
      </c>
      <c r="B29" s="15"/>
      <c r="C29" s="15"/>
      <c r="D29" s="15"/>
      <c r="E29" s="15"/>
      <c r="F29" s="15"/>
      <c r="G29" s="15" t="s">
        <v>391</v>
      </c>
      <c r="H29" s="110"/>
      <c r="I29" s="130">
        <f>322.32</f>
        <v>322.32</v>
      </c>
    </row>
    <row r="30" spans="1:9" x14ac:dyDescent="0.25">
      <c r="A30" s="108" t="s">
        <v>131</v>
      </c>
      <c r="B30" s="15"/>
      <c r="C30" s="15"/>
      <c r="D30" s="15"/>
      <c r="E30" s="15"/>
      <c r="F30" s="15"/>
      <c r="G30" s="15" t="s">
        <v>392</v>
      </c>
      <c r="H30" s="110"/>
      <c r="I30" s="130">
        <f>14121.55</f>
        <v>14121.55</v>
      </c>
    </row>
    <row r="31" spans="1:9" x14ac:dyDescent="0.25">
      <c r="B31" s="15"/>
      <c r="C31" s="15"/>
      <c r="D31" s="15"/>
      <c r="E31" s="15"/>
      <c r="F31" s="15" t="s">
        <v>393</v>
      </c>
      <c r="G31" s="15"/>
      <c r="H31" s="110"/>
      <c r="I31" s="131">
        <f>ROUND(SUM(I16:I30),5)</f>
        <v>113810.87</v>
      </c>
    </row>
    <row r="32" spans="1:9" x14ac:dyDescent="0.25">
      <c r="B32" s="15"/>
      <c r="C32" s="15"/>
      <c r="D32" s="15"/>
      <c r="E32" s="15"/>
      <c r="F32" s="15" t="s">
        <v>394</v>
      </c>
      <c r="G32" s="15"/>
      <c r="H32" s="110"/>
      <c r="I32" s="19"/>
    </row>
    <row r="33" spans="1:9" x14ac:dyDescent="0.25">
      <c r="A33" t="s">
        <v>116</v>
      </c>
      <c r="B33" s="15"/>
      <c r="C33" s="15"/>
      <c r="D33" s="15"/>
      <c r="E33" s="15"/>
      <c r="F33" s="15"/>
      <c r="G33" s="15" t="s">
        <v>395</v>
      </c>
      <c r="H33" s="110"/>
      <c r="I33" s="130">
        <f>2.93</f>
        <v>2.93</v>
      </c>
    </row>
    <row r="34" spans="1:9" x14ac:dyDescent="0.25">
      <c r="A34" s="108" t="s">
        <v>131</v>
      </c>
      <c r="B34" s="15"/>
      <c r="C34" s="15"/>
      <c r="D34" s="15"/>
      <c r="E34" s="15"/>
      <c r="F34" s="15"/>
      <c r="G34" s="15" t="s">
        <v>396</v>
      </c>
      <c r="H34" s="110"/>
      <c r="I34" s="130">
        <f>47</f>
        <v>47</v>
      </c>
    </row>
    <row r="35" spans="1:9" x14ac:dyDescent="0.25">
      <c r="A35" s="108" t="s">
        <v>131</v>
      </c>
      <c r="B35" s="15"/>
      <c r="C35" s="15"/>
      <c r="D35" s="15"/>
      <c r="E35" s="15"/>
      <c r="F35" s="15"/>
      <c r="G35" s="15" t="s">
        <v>596</v>
      </c>
      <c r="H35" s="110"/>
      <c r="I35" s="130">
        <f>1576.13</f>
        <v>1576.13</v>
      </c>
    </row>
    <row r="36" spans="1:9" x14ac:dyDescent="0.25">
      <c r="B36" s="15"/>
      <c r="C36" s="15"/>
      <c r="D36" s="15"/>
      <c r="E36" s="15"/>
      <c r="F36" s="15" t="s">
        <v>397</v>
      </c>
      <c r="G36" s="15"/>
      <c r="H36" s="110"/>
      <c r="I36" s="131">
        <f>ROUND(SUM(I32:I35),5)</f>
        <v>1626.06</v>
      </c>
    </row>
    <row r="37" spans="1:9" x14ac:dyDescent="0.25">
      <c r="B37" s="15"/>
      <c r="C37" s="15"/>
      <c r="D37" s="15"/>
      <c r="E37" s="15"/>
      <c r="F37" s="15" t="s">
        <v>398</v>
      </c>
      <c r="G37" s="15"/>
      <c r="H37" s="110"/>
      <c r="I37" s="19"/>
    </row>
    <row r="38" spans="1:9" x14ac:dyDescent="0.25">
      <c r="A38" s="108" t="s">
        <v>131</v>
      </c>
      <c r="B38" s="15"/>
      <c r="C38" s="15"/>
      <c r="D38" s="15"/>
      <c r="E38" s="15"/>
      <c r="F38" s="15"/>
      <c r="G38" s="15" t="s">
        <v>399</v>
      </c>
      <c r="H38" s="110"/>
      <c r="I38" s="130">
        <f>2322.24</f>
        <v>2322.2399999999998</v>
      </c>
    </row>
    <row r="39" spans="1:9" x14ac:dyDescent="0.25">
      <c r="A39" s="108" t="s">
        <v>131</v>
      </c>
      <c r="B39" s="15"/>
      <c r="C39" s="15"/>
      <c r="D39" s="15"/>
      <c r="E39" s="15"/>
      <c r="F39" s="15"/>
      <c r="G39" s="15" t="s">
        <v>400</v>
      </c>
      <c r="H39" s="110"/>
      <c r="I39" s="130">
        <f>628.66</f>
        <v>628.66</v>
      </c>
    </row>
    <row r="40" spans="1:9" x14ac:dyDescent="0.25">
      <c r="A40" s="108" t="s">
        <v>131</v>
      </c>
      <c r="B40" s="15"/>
      <c r="C40" s="15"/>
      <c r="D40" s="15"/>
      <c r="E40" s="15"/>
      <c r="F40" s="15"/>
      <c r="G40" s="15" t="s">
        <v>597</v>
      </c>
      <c r="H40" s="110"/>
      <c r="I40" s="130">
        <f>24.71</f>
        <v>24.71</v>
      </c>
    </row>
    <row r="41" spans="1:9" x14ac:dyDescent="0.25">
      <c r="A41" t="s">
        <v>116</v>
      </c>
      <c r="B41" s="15"/>
      <c r="C41" s="15"/>
      <c r="D41" s="15"/>
      <c r="E41" s="15"/>
      <c r="F41" s="15"/>
      <c r="G41" s="15" t="s">
        <v>598</v>
      </c>
      <c r="H41" s="110"/>
      <c r="I41" s="130">
        <f>1010</f>
        <v>1010</v>
      </c>
    </row>
    <row r="42" spans="1:9" x14ac:dyDescent="0.25">
      <c r="A42" s="108" t="s">
        <v>131</v>
      </c>
      <c r="B42" s="15"/>
      <c r="C42" s="15"/>
      <c r="D42" s="15"/>
      <c r="E42" s="15"/>
      <c r="F42" s="15"/>
      <c r="G42" s="15" t="s">
        <v>599</v>
      </c>
      <c r="H42" s="110"/>
      <c r="I42" s="130">
        <f>541.15</f>
        <v>541.15</v>
      </c>
    </row>
    <row r="43" spans="1:9" x14ac:dyDescent="0.25">
      <c r="A43" s="108" t="s">
        <v>131</v>
      </c>
      <c r="B43" s="15"/>
      <c r="C43" s="15"/>
      <c r="D43" s="15"/>
      <c r="E43" s="15"/>
      <c r="F43" s="15"/>
      <c r="G43" s="15" t="s">
        <v>600</v>
      </c>
      <c r="H43" s="110"/>
      <c r="I43" s="130">
        <f>8127.29</f>
        <v>8127.29</v>
      </c>
    </row>
    <row r="44" spans="1:9" x14ac:dyDescent="0.25">
      <c r="A44" s="108" t="s">
        <v>131</v>
      </c>
      <c r="B44" s="15"/>
      <c r="C44" s="15"/>
      <c r="D44" s="15"/>
      <c r="E44" s="15"/>
      <c r="F44" s="15"/>
      <c r="G44" s="15" t="s">
        <v>401</v>
      </c>
      <c r="H44" s="110"/>
      <c r="I44" s="130">
        <f>420.74</f>
        <v>420.74</v>
      </c>
    </row>
    <row r="45" spans="1:9" x14ac:dyDescent="0.25">
      <c r="B45" s="15"/>
      <c r="C45" s="15"/>
      <c r="D45" s="15"/>
      <c r="E45" s="15"/>
      <c r="F45" s="15" t="s">
        <v>402</v>
      </c>
      <c r="G45" s="15"/>
      <c r="H45" s="110"/>
      <c r="I45" s="131">
        <f>ROUND(SUM(I37:I44),5)</f>
        <v>13074.79</v>
      </c>
    </row>
    <row r="46" spans="1:9" x14ac:dyDescent="0.25">
      <c r="B46" s="15"/>
      <c r="C46" s="15"/>
      <c r="D46" s="15"/>
      <c r="E46" s="15"/>
      <c r="F46" s="15" t="s">
        <v>403</v>
      </c>
      <c r="G46" s="15"/>
      <c r="H46" s="110"/>
      <c r="I46" s="19"/>
    </row>
    <row r="47" spans="1:9" x14ac:dyDescent="0.25">
      <c r="A47" s="25" t="s">
        <v>115</v>
      </c>
      <c r="B47" s="15"/>
      <c r="C47" s="15"/>
      <c r="D47" s="15"/>
      <c r="E47" s="15"/>
      <c r="F47" s="15"/>
      <c r="G47" s="15" t="s">
        <v>404</v>
      </c>
      <c r="H47" s="110"/>
      <c r="I47" s="130">
        <f>9405</f>
        <v>9405</v>
      </c>
    </row>
    <row r="48" spans="1:9" x14ac:dyDescent="0.25">
      <c r="A48" t="s">
        <v>116</v>
      </c>
      <c r="B48" s="15"/>
      <c r="C48" s="15"/>
      <c r="D48" s="15"/>
      <c r="E48" s="15"/>
      <c r="F48" s="15"/>
      <c r="G48" s="15" t="s">
        <v>405</v>
      </c>
      <c r="H48" s="110"/>
      <c r="I48" s="130">
        <f>6414.73</f>
        <v>6414.73</v>
      </c>
    </row>
    <row r="49" spans="1:9" x14ac:dyDescent="0.25">
      <c r="A49" s="108" t="s">
        <v>131</v>
      </c>
      <c r="B49" s="15"/>
      <c r="C49" s="15"/>
      <c r="D49" s="15"/>
      <c r="E49" s="15"/>
      <c r="F49" s="15"/>
      <c r="G49" s="15" t="s">
        <v>406</v>
      </c>
      <c r="H49" s="110"/>
      <c r="I49" s="130">
        <f>1951.52</f>
        <v>1951.52</v>
      </c>
    </row>
    <row r="50" spans="1:9" x14ac:dyDescent="0.25">
      <c r="A50" s="108" t="s">
        <v>131</v>
      </c>
      <c r="B50" s="15"/>
      <c r="C50" s="15"/>
      <c r="D50" s="15"/>
      <c r="E50" s="15"/>
      <c r="F50" s="15"/>
      <c r="G50" s="15" t="s">
        <v>407</v>
      </c>
      <c r="H50" s="110"/>
      <c r="I50" s="130">
        <f>27077.17</f>
        <v>27077.17</v>
      </c>
    </row>
    <row r="51" spans="1:9" x14ac:dyDescent="0.25">
      <c r="A51" s="108" t="s">
        <v>131</v>
      </c>
      <c r="B51" s="15"/>
      <c r="C51" s="15"/>
      <c r="D51" s="15"/>
      <c r="E51" s="15"/>
      <c r="F51" s="15"/>
      <c r="G51" s="15" t="s">
        <v>408</v>
      </c>
      <c r="H51" s="110"/>
      <c r="I51" s="130">
        <f>1573.43</f>
        <v>1573.43</v>
      </c>
    </row>
    <row r="52" spans="1:9" x14ac:dyDescent="0.25">
      <c r="A52" s="108" t="s">
        <v>131</v>
      </c>
      <c r="B52" s="15"/>
      <c r="C52" s="15"/>
      <c r="D52" s="15"/>
      <c r="E52" s="15"/>
      <c r="F52" s="15"/>
      <c r="G52" s="15" t="s">
        <v>409</v>
      </c>
      <c r="H52" s="110"/>
      <c r="I52" s="130">
        <f>3891.85</f>
        <v>3891.85</v>
      </c>
    </row>
    <row r="53" spans="1:9" x14ac:dyDescent="0.25">
      <c r="B53" s="15"/>
      <c r="C53" s="15"/>
      <c r="D53" s="15"/>
      <c r="E53" s="15"/>
      <c r="F53" s="15" t="s">
        <v>410</v>
      </c>
      <c r="G53" s="15"/>
      <c r="H53" s="110"/>
      <c r="I53" s="131">
        <f>ROUND(SUM(I46:I52),5)</f>
        <v>50313.7</v>
      </c>
    </row>
    <row r="54" spans="1:9" x14ac:dyDescent="0.25">
      <c r="B54" s="15"/>
      <c r="C54" s="15"/>
      <c r="D54" s="15"/>
      <c r="E54" s="15"/>
      <c r="F54" s="15" t="s">
        <v>411</v>
      </c>
      <c r="G54" s="15"/>
      <c r="H54" s="110"/>
      <c r="I54" s="19"/>
    </row>
    <row r="55" spans="1:9" x14ac:dyDescent="0.25">
      <c r="A55" s="25" t="s">
        <v>114</v>
      </c>
      <c r="B55" s="15"/>
      <c r="C55" s="15"/>
      <c r="D55" s="15"/>
      <c r="E55" s="15"/>
      <c r="F55" s="15"/>
      <c r="G55" s="15" t="s">
        <v>412</v>
      </c>
      <c r="H55" s="110"/>
      <c r="I55" s="130">
        <f>279.91+720</f>
        <v>999.91000000000008</v>
      </c>
    </row>
    <row r="56" spans="1:9" x14ac:dyDescent="0.25">
      <c r="A56" s="25" t="s">
        <v>118</v>
      </c>
      <c r="B56" s="15"/>
      <c r="C56" s="15"/>
      <c r="D56" s="15"/>
      <c r="E56" s="15"/>
      <c r="F56" s="15"/>
      <c r="G56" s="15" t="s">
        <v>413</v>
      </c>
      <c r="H56" s="110"/>
      <c r="I56" s="130">
        <f>59.32</f>
        <v>59.32</v>
      </c>
    </row>
    <row r="57" spans="1:9" x14ac:dyDescent="0.25">
      <c r="A57" s="25" t="s">
        <v>114</v>
      </c>
      <c r="B57" s="15"/>
      <c r="C57" s="15"/>
      <c r="D57" s="15"/>
      <c r="E57" s="15"/>
      <c r="F57" s="15"/>
      <c r="G57" s="15" t="s">
        <v>414</v>
      </c>
      <c r="H57" s="110"/>
      <c r="I57" s="130">
        <f>9180.41</f>
        <v>9180.41</v>
      </c>
    </row>
    <row r="58" spans="1:9" x14ac:dyDescent="0.25">
      <c r="A58" s="25" t="s">
        <v>118</v>
      </c>
      <c r="B58" s="15"/>
      <c r="C58" s="15"/>
      <c r="D58" s="15"/>
      <c r="E58" s="15"/>
      <c r="F58" s="15"/>
      <c r="G58" s="15" t="s">
        <v>415</v>
      </c>
      <c r="H58" s="110"/>
      <c r="I58" s="130">
        <f>3449.9</f>
        <v>3449.9</v>
      </c>
    </row>
    <row r="59" spans="1:9" x14ac:dyDescent="0.25">
      <c r="A59" s="25" t="s">
        <v>115</v>
      </c>
      <c r="B59" s="15"/>
      <c r="C59" s="15"/>
      <c r="D59" s="15"/>
      <c r="E59" s="15"/>
      <c r="F59" s="15"/>
      <c r="G59" s="15" t="s">
        <v>416</v>
      </c>
      <c r="H59" s="110"/>
      <c r="I59" s="130">
        <f>18646.04</f>
        <v>18646.04</v>
      </c>
    </row>
    <row r="60" spans="1:9" x14ac:dyDescent="0.25">
      <c r="A60" s="108" t="s">
        <v>131</v>
      </c>
      <c r="B60" s="15"/>
      <c r="C60" s="15"/>
      <c r="D60" s="15"/>
      <c r="E60" s="15"/>
      <c r="F60" s="15"/>
      <c r="G60" s="15" t="s">
        <v>417</v>
      </c>
      <c r="H60" s="110"/>
      <c r="I60" s="130">
        <f>405.58</f>
        <v>405.58</v>
      </c>
    </row>
    <row r="61" spans="1:9" x14ac:dyDescent="0.25">
      <c r="A61" s="25" t="s">
        <v>115</v>
      </c>
      <c r="B61" s="15"/>
      <c r="C61" s="15"/>
      <c r="D61" s="15"/>
      <c r="E61" s="15"/>
      <c r="F61" s="15"/>
      <c r="G61" s="15" t="s">
        <v>418</v>
      </c>
      <c r="H61" s="110"/>
      <c r="I61" s="130">
        <f>15.7</f>
        <v>15.7</v>
      </c>
    </row>
    <row r="62" spans="1:9" x14ac:dyDescent="0.25">
      <c r="A62" s="25" t="s">
        <v>115</v>
      </c>
      <c r="B62" s="15"/>
      <c r="C62" s="15"/>
      <c r="D62" s="15"/>
      <c r="E62" s="15"/>
      <c r="F62" s="15"/>
      <c r="G62" s="15" t="s">
        <v>419</v>
      </c>
      <c r="H62" s="110"/>
      <c r="I62" s="130">
        <f>2594.32</f>
        <v>2594.3200000000002</v>
      </c>
    </row>
    <row r="63" spans="1:9" x14ac:dyDescent="0.25">
      <c r="A63" s="25" t="s">
        <v>115</v>
      </c>
      <c r="B63" s="15"/>
      <c r="C63" s="15"/>
      <c r="D63" s="15"/>
      <c r="E63" s="15"/>
      <c r="F63" s="15"/>
      <c r="G63" s="15" t="s">
        <v>420</v>
      </c>
      <c r="H63" s="110"/>
      <c r="I63" s="130">
        <f>2376.71</f>
        <v>2376.71</v>
      </c>
    </row>
    <row r="64" spans="1:9" x14ac:dyDescent="0.25">
      <c r="B64" s="15"/>
      <c r="C64" s="15"/>
      <c r="D64" s="15"/>
      <c r="E64" s="15"/>
      <c r="F64" s="15" t="s">
        <v>421</v>
      </c>
      <c r="G64" s="15"/>
      <c r="H64" s="110"/>
      <c r="I64" s="131">
        <f>SUM(I55:I63)</f>
        <v>37727.890000000007</v>
      </c>
    </row>
    <row r="65" spans="1:9" x14ac:dyDescent="0.25">
      <c r="B65" s="15"/>
      <c r="C65" s="15"/>
      <c r="D65" s="15"/>
      <c r="E65" s="15"/>
      <c r="F65" s="15" t="s">
        <v>422</v>
      </c>
      <c r="G65" s="15"/>
      <c r="H65" s="110"/>
      <c r="I65" s="19"/>
    </row>
    <row r="66" spans="1:9" x14ac:dyDescent="0.25">
      <c r="A66" s="25" t="s">
        <v>113</v>
      </c>
      <c r="B66" s="15"/>
      <c r="C66" s="15"/>
      <c r="D66" s="15"/>
      <c r="E66" s="15"/>
      <c r="F66" s="15"/>
      <c r="G66" s="15" t="s">
        <v>423</v>
      </c>
      <c r="H66" s="110"/>
      <c r="I66" s="130">
        <f>199053.64</f>
        <v>199053.64</v>
      </c>
    </row>
    <row r="67" spans="1:9" x14ac:dyDescent="0.25">
      <c r="A67" s="108" t="s">
        <v>131</v>
      </c>
      <c r="B67" s="15"/>
      <c r="C67" s="15"/>
      <c r="D67" s="15"/>
      <c r="E67" s="15"/>
      <c r="F67" s="15"/>
      <c r="G67" s="15" t="s">
        <v>601</v>
      </c>
      <c r="H67" s="110"/>
      <c r="I67" s="130">
        <f>64.16</f>
        <v>64.16</v>
      </c>
    </row>
    <row r="68" spans="1:9" x14ac:dyDescent="0.25">
      <c r="A68" s="108" t="s">
        <v>131</v>
      </c>
      <c r="B68" s="15"/>
      <c r="C68" s="15"/>
      <c r="D68" s="15"/>
      <c r="E68" s="15"/>
      <c r="F68" s="15"/>
      <c r="G68" s="15" t="s">
        <v>602</v>
      </c>
      <c r="H68" s="110"/>
      <c r="I68" s="130">
        <f>55.44</f>
        <v>55.44</v>
      </c>
    </row>
    <row r="69" spans="1:9" x14ac:dyDescent="0.25">
      <c r="A69" s="108" t="s">
        <v>131</v>
      </c>
      <c r="B69" s="15"/>
      <c r="C69" s="15"/>
      <c r="D69" s="15"/>
      <c r="E69" s="15"/>
      <c r="F69" s="15"/>
      <c r="G69" s="15" t="s">
        <v>603</v>
      </c>
      <c r="H69" s="110"/>
      <c r="I69" s="130">
        <f>6138.5</f>
        <v>6138.5</v>
      </c>
    </row>
    <row r="70" spans="1:9" x14ac:dyDescent="0.25">
      <c r="A70" s="25" t="s">
        <v>123</v>
      </c>
      <c r="B70" s="15"/>
      <c r="C70" s="15"/>
      <c r="D70" s="15"/>
      <c r="E70" s="15"/>
      <c r="F70" s="15"/>
      <c r="G70" s="15" t="s">
        <v>604</v>
      </c>
      <c r="H70" s="110"/>
      <c r="I70" s="130">
        <f>2435.61</f>
        <v>2435.61</v>
      </c>
    </row>
    <row r="71" spans="1:9" x14ac:dyDescent="0.25">
      <c r="A71" s="108" t="s">
        <v>131</v>
      </c>
      <c r="B71" s="15"/>
      <c r="C71" s="15"/>
      <c r="D71" s="15"/>
      <c r="E71" s="15"/>
      <c r="F71" s="15"/>
      <c r="G71" s="15" t="s">
        <v>605</v>
      </c>
      <c r="H71" s="110"/>
      <c r="I71" s="130">
        <f>250.46</f>
        <v>250.46</v>
      </c>
    </row>
    <row r="72" spans="1:9" x14ac:dyDescent="0.25">
      <c r="A72" s="25" t="s">
        <v>123</v>
      </c>
      <c r="B72" s="15"/>
      <c r="C72" s="15"/>
      <c r="D72" s="15"/>
      <c r="E72" s="15"/>
      <c r="F72" s="15"/>
      <c r="G72" s="15" t="s">
        <v>606</v>
      </c>
      <c r="H72" s="110"/>
      <c r="I72" s="130">
        <f>338.8</f>
        <v>338.8</v>
      </c>
    </row>
    <row r="73" spans="1:9" x14ac:dyDescent="0.25">
      <c r="A73" s="108" t="s">
        <v>131</v>
      </c>
      <c r="B73" s="15"/>
      <c r="C73" s="15"/>
      <c r="D73" s="15"/>
      <c r="E73" s="15"/>
      <c r="F73" s="15"/>
      <c r="G73" s="15" t="s">
        <v>607</v>
      </c>
      <c r="H73" s="110"/>
      <c r="I73" s="130">
        <f>385.17</f>
        <v>385.17</v>
      </c>
    </row>
    <row r="74" spans="1:9" x14ac:dyDescent="0.25">
      <c r="B74" s="15"/>
      <c r="C74" s="15"/>
      <c r="D74" s="15"/>
      <c r="E74" s="15"/>
      <c r="F74" s="15" t="s">
        <v>424</v>
      </c>
      <c r="G74" s="15"/>
      <c r="H74" s="110"/>
      <c r="I74" s="131">
        <f>ROUND(SUM(I65:I73),5)</f>
        <v>208721.78</v>
      </c>
    </row>
    <row r="75" spans="1:9" x14ac:dyDescent="0.25">
      <c r="B75" s="15"/>
      <c r="C75" s="15"/>
      <c r="D75" s="15"/>
      <c r="E75" s="15"/>
      <c r="F75" s="15" t="s">
        <v>425</v>
      </c>
      <c r="G75" s="15"/>
      <c r="H75" s="110"/>
      <c r="I75" s="19"/>
    </row>
    <row r="76" spans="1:9" x14ac:dyDescent="0.25">
      <c r="A76" s="108" t="s">
        <v>131</v>
      </c>
      <c r="B76" s="15"/>
      <c r="C76" s="15"/>
      <c r="D76" s="15"/>
      <c r="E76" s="15"/>
      <c r="F76" s="15"/>
      <c r="G76" s="15" t="s">
        <v>426</v>
      </c>
      <c r="H76" s="110"/>
      <c r="I76" s="130">
        <f>1634.41+130.19</f>
        <v>1764.6000000000001</v>
      </c>
    </row>
    <row r="77" spans="1:9" x14ac:dyDescent="0.25">
      <c r="A77" s="108" t="s">
        <v>131</v>
      </c>
      <c r="B77" s="15"/>
      <c r="C77" s="15"/>
      <c r="D77" s="15"/>
      <c r="E77" s="15"/>
      <c r="F77" s="15"/>
      <c r="G77" s="15" t="s">
        <v>427</v>
      </c>
      <c r="H77" s="110"/>
      <c r="I77" s="130">
        <f>42.85</f>
        <v>42.85</v>
      </c>
    </row>
    <row r="78" spans="1:9" x14ac:dyDescent="0.25">
      <c r="A78" s="108" t="s">
        <v>131</v>
      </c>
      <c r="B78" s="15"/>
      <c r="C78" s="15"/>
      <c r="D78" s="15"/>
      <c r="E78" s="15"/>
      <c r="F78" s="15"/>
      <c r="G78" s="15" t="s">
        <v>428</v>
      </c>
      <c r="H78" s="110"/>
      <c r="I78" s="130">
        <f>3.06</f>
        <v>3.06</v>
      </c>
    </row>
    <row r="79" spans="1:9" x14ac:dyDescent="0.25">
      <c r="A79" s="108" t="s">
        <v>131</v>
      </c>
      <c r="B79" s="15"/>
      <c r="C79" s="15"/>
      <c r="D79" s="15"/>
      <c r="E79" s="15"/>
      <c r="F79" s="15"/>
      <c r="G79" s="15" t="s">
        <v>429</v>
      </c>
      <c r="H79" s="110"/>
      <c r="I79" s="130">
        <f>82.25</f>
        <v>82.25</v>
      </c>
    </row>
    <row r="80" spans="1:9" x14ac:dyDescent="0.25">
      <c r="A80" s="108" t="s">
        <v>131</v>
      </c>
      <c r="B80" s="15"/>
      <c r="C80" s="15"/>
      <c r="D80" s="15"/>
      <c r="E80" s="15"/>
      <c r="F80" s="15"/>
      <c r="G80" s="15" t="s">
        <v>430</v>
      </c>
      <c r="H80" s="110"/>
      <c r="I80" s="130">
        <f>2335.3</f>
        <v>2335.3000000000002</v>
      </c>
    </row>
    <row r="81" spans="1:9" x14ac:dyDescent="0.25">
      <c r="A81" s="108" t="s">
        <v>131</v>
      </c>
      <c r="B81" s="15"/>
      <c r="C81" s="15"/>
      <c r="D81" s="15"/>
      <c r="E81" s="15"/>
      <c r="F81" s="15"/>
      <c r="G81" s="15" t="s">
        <v>431</v>
      </c>
      <c r="H81" s="110"/>
      <c r="I81" s="130">
        <f>7710.82</f>
        <v>7710.82</v>
      </c>
    </row>
    <row r="82" spans="1:9" x14ac:dyDescent="0.25">
      <c r="B82" s="15"/>
      <c r="C82" s="15"/>
      <c r="D82" s="15"/>
      <c r="E82" s="15"/>
      <c r="F82" s="15" t="s">
        <v>432</v>
      </c>
      <c r="G82" s="15"/>
      <c r="H82" s="110"/>
      <c r="I82" s="131">
        <f>ROUND(SUM(I75:I81),5)</f>
        <v>11938.88</v>
      </c>
    </row>
    <row r="83" spans="1:9" x14ac:dyDescent="0.25">
      <c r="B83" s="15"/>
      <c r="C83" s="15"/>
      <c r="D83" s="15"/>
      <c r="E83" s="15"/>
      <c r="F83" s="15" t="s">
        <v>433</v>
      </c>
      <c r="G83" s="15"/>
      <c r="H83" s="110"/>
      <c r="I83" s="19"/>
    </row>
    <row r="84" spans="1:9" x14ac:dyDescent="0.25">
      <c r="A84" s="25" t="s">
        <v>117</v>
      </c>
      <c r="B84" s="15"/>
      <c r="C84" s="15"/>
      <c r="D84" s="15"/>
      <c r="E84" s="15"/>
      <c r="F84" s="15"/>
      <c r="G84" s="15" t="s">
        <v>434</v>
      </c>
      <c r="H84" s="110"/>
      <c r="I84" s="130">
        <f>11360.96</f>
        <v>11360.96</v>
      </c>
    </row>
    <row r="85" spans="1:9" x14ac:dyDescent="0.25">
      <c r="A85" s="25" t="s">
        <v>114</v>
      </c>
      <c r="B85" s="15"/>
      <c r="C85" s="15"/>
      <c r="D85" s="15"/>
      <c r="E85" s="15"/>
      <c r="F85" s="15"/>
      <c r="G85" s="15" t="s">
        <v>435</v>
      </c>
      <c r="H85" s="110"/>
      <c r="I85" s="130">
        <f>3300.16</f>
        <v>3300.16</v>
      </c>
    </row>
    <row r="86" spans="1:9" x14ac:dyDescent="0.25">
      <c r="A86" s="25" t="s">
        <v>114</v>
      </c>
      <c r="B86" s="15"/>
      <c r="C86" s="15"/>
      <c r="D86" s="15"/>
      <c r="E86" s="15"/>
      <c r="F86" s="15"/>
      <c r="G86" s="15" t="s">
        <v>436</v>
      </c>
      <c r="H86" s="110"/>
      <c r="I86" s="130">
        <f>475.34</f>
        <v>475.34</v>
      </c>
    </row>
    <row r="87" spans="1:9" x14ac:dyDescent="0.25">
      <c r="A87" s="108" t="s">
        <v>131</v>
      </c>
      <c r="B87" s="15"/>
      <c r="C87" s="15"/>
      <c r="D87" s="15"/>
      <c r="E87" s="15"/>
      <c r="F87" s="15"/>
      <c r="G87" s="15" t="s">
        <v>437</v>
      </c>
      <c r="H87" s="110"/>
      <c r="I87" s="130">
        <f>1529.9</f>
        <v>1529.9</v>
      </c>
    </row>
    <row r="88" spans="1:9" x14ac:dyDescent="0.25">
      <c r="A88" s="108" t="s">
        <v>131</v>
      </c>
      <c r="B88" s="15"/>
      <c r="C88" s="15"/>
      <c r="D88" s="15"/>
      <c r="E88" s="15"/>
      <c r="F88" s="15"/>
      <c r="G88" s="15" t="s">
        <v>438</v>
      </c>
      <c r="H88" s="110"/>
      <c r="I88" s="130">
        <f>992.57</f>
        <v>992.57</v>
      </c>
    </row>
    <row r="89" spans="1:9" x14ac:dyDescent="0.25">
      <c r="A89" s="25" t="s">
        <v>114</v>
      </c>
      <c r="B89" s="15"/>
      <c r="C89" s="15"/>
      <c r="D89" s="15"/>
      <c r="E89" s="15"/>
      <c r="F89" s="15"/>
      <c r="G89" s="15" t="s">
        <v>439</v>
      </c>
      <c r="H89" s="110"/>
      <c r="I89" s="130">
        <f>203.29</f>
        <v>203.29</v>
      </c>
    </row>
    <row r="90" spans="1:9" x14ac:dyDescent="0.25">
      <c r="B90" s="15"/>
      <c r="C90" s="15"/>
      <c r="D90" s="15"/>
      <c r="E90" s="15"/>
      <c r="F90" s="15" t="s">
        <v>440</v>
      </c>
      <c r="G90" s="15"/>
      <c r="H90" s="110"/>
      <c r="I90" s="131">
        <f>ROUND(SUM(I83:I89),5)</f>
        <v>17862.22</v>
      </c>
    </row>
    <row r="91" spans="1:9" x14ac:dyDescent="0.25">
      <c r="B91" s="15"/>
      <c r="C91" s="15"/>
      <c r="D91" s="15"/>
      <c r="E91" s="15"/>
      <c r="F91" s="15" t="s">
        <v>441</v>
      </c>
      <c r="G91" s="15"/>
      <c r="H91" s="110"/>
      <c r="I91" s="19"/>
    </row>
    <row r="92" spans="1:9" x14ac:dyDescent="0.25">
      <c r="A92" s="108" t="s">
        <v>131</v>
      </c>
      <c r="B92" s="15"/>
      <c r="C92" s="15"/>
      <c r="D92" s="15"/>
      <c r="E92" s="15"/>
      <c r="F92" s="15"/>
      <c r="G92" s="15" t="s">
        <v>442</v>
      </c>
      <c r="H92" s="110"/>
      <c r="I92" s="130">
        <f>5797.89+245</f>
        <v>6042.89</v>
      </c>
    </row>
    <row r="93" spans="1:9" x14ac:dyDescent="0.25">
      <c r="A93" s="108" t="s">
        <v>131</v>
      </c>
      <c r="B93" s="15"/>
      <c r="C93" s="15"/>
      <c r="D93" s="15"/>
      <c r="E93" s="15"/>
      <c r="F93" s="15"/>
      <c r="G93" s="15" t="s">
        <v>443</v>
      </c>
      <c r="H93" s="110"/>
      <c r="I93" s="130">
        <f>558</f>
        <v>558</v>
      </c>
    </row>
    <row r="94" spans="1:9" x14ac:dyDescent="0.25">
      <c r="A94" s="25" t="s">
        <v>118</v>
      </c>
      <c r="B94" s="15"/>
      <c r="C94" s="15"/>
      <c r="D94" s="15"/>
      <c r="E94" s="15"/>
      <c r="F94" s="15"/>
      <c r="G94" s="15" t="s">
        <v>608</v>
      </c>
      <c r="H94" s="110"/>
      <c r="I94" s="130">
        <f>1678.05</f>
        <v>1678.05</v>
      </c>
    </row>
    <row r="95" spans="1:9" x14ac:dyDescent="0.25">
      <c r="A95" s="108" t="s">
        <v>131</v>
      </c>
      <c r="B95" s="15"/>
      <c r="C95" s="15"/>
      <c r="D95" s="15"/>
      <c r="E95" s="15"/>
      <c r="F95" s="15"/>
      <c r="G95" s="15" t="s">
        <v>455</v>
      </c>
      <c r="H95" s="110"/>
      <c r="I95" s="130">
        <f>3.4</f>
        <v>3.4</v>
      </c>
    </row>
    <row r="96" spans="1:9" x14ac:dyDescent="0.25">
      <c r="B96" s="15"/>
      <c r="C96" s="15"/>
      <c r="D96" s="15"/>
      <c r="E96" s="15"/>
      <c r="F96" s="15" t="s">
        <v>444</v>
      </c>
      <c r="G96" s="15"/>
      <c r="H96" s="110"/>
      <c r="I96" s="131">
        <f>ROUND(SUM(I91:I95),5)</f>
        <v>8282.34</v>
      </c>
    </row>
    <row r="97" spans="1:10" x14ac:dyDescent="0.25">
      <c r="B97" s="15"/>
      <c r="C97" s="15"/>
      <c r="D97" s="15"/>
      <c r="E97" s="15"/>
      <c r="F97" s="15" t="s">
        <v>445</v>
      </c>
      <c r="G97" s="15"/>
      <c r="H97" s="110"/>
      <c r="I97" s="19"/>
    </row>
    <row r="98" spans="1:10" x14ac:dyDescent="0.25">
      <c r="A98" s="108" t="s">
        <v>131</v>
      </c>
      <c r="B98" s="15"/>
      <c r="C98" s="15"/>
      <c r="D98" s="15"/>
      <c r="E98" s="15"/>
      <c r="F98" s="15"/>
      <c r="G98" s="15" t="s">
        <v>446</v>
      </c>
      <c r="H98" s="110"/>
      <c r="I98" s="130">
        <f>3853.8</f>
        <v>3853.8</v>
      </c>
    </row>
    <row r="99" spans="1:10" x14ac:dyDescent="0.25">
      <c r="A99" s="108" t="s">
        <v>131</v>
      </c>
      <c r="B99" s="15"/>
      <c r="C99" s="15"/>
      <c r="D99" s="15"/>
      <c r="E99" s="15"/>
      <c r="F99" s="15"/>
      <c r="G99" s="15" t="s">
        <v>457</v>
      </c>
      <c r="H99" s="110"/>
      <c r="I99" s="130">
        <f>1247.7</f>
        <v>1247.7</v>
      </c>
    </row>
    <row r="100" spans="1:10" x14ac:dyDescent="0.25">
      <c r="B100" s="15"/>
      <c r="C100" s="15"/>
      <c r="D100" s="15"/>
      <c r="E100" s="15"/>
      <c r="F100" s="15" t="s">
        <v>447</v>
      </c>
      <c r="G100" s="15"/>
      <c r="H100" s="110"/>
      <c r="I100" s="131">
        <f>ROUND(SUM(I97:I99),5)</f>
        <v>5101.5</v>
      </c>
    </row>
    <row r="101" spans="1:10" x14ac:dyDescent="0.25">
      <c r="B101" s="15"/>
      <c r="C101" s="15"/>
      <c r="D101" s="15"/>
      <c r="E101" s="15"/>
      <c r="F101" s="15" t="s">
        <v>448</v>
      </c>
      <c r="G101" s="15"/>
      <c r="H101" s="110"/>
      <c r="I101" s="19"/>
    </row>
    <row r="102" spans="1:10" x14ac:dyDescent="0.25">
      <c r="A102" s="25" t="s">
        <v>123</v>
      </c>
      <c r="B102" s="15"/>
      <c r="C102" s="15"/>
      <c r="D102" s="15"/>
      <c r="E102" s="15"/>
      <c r="F102" s="15"/>
      <c r="G102" s="15" t="s">
        <v>449</v>
      </c>
      <c r="H102" s="110"/>
      <c r="I102" s="130">
        <f>3520</f>
        <v>3520</v>
      </c>
    </row>
    <row r="103" spans="1:10" x14ac:dyDescent="0.25">
      <c r="A103" s="108" t="s">
        <v>131</v>
      </c>
      <c r="B103" s="15"/>
      <c r="C103" s="15"/>
      <c r="D103" s="15"/>
      <c r="E103" s="15"/>
      <c r="F103" s="15"/>
      <c r="G103" s="15" t="s">
        <v>450</v>
      </c>
      <c r="H103" s="110"/>
      <c r="I103" s="130">
        <f>629.02</f>
        <v>629.02</v>
      </c>
      <c r="J103" s="112"/>
    </row>
    <row r="104" spans="1:10" x14ac:dyDescent="0.25">
      <c r="A104" s="25" t="s">
        <v>123</v>
      </c>
      <c r="B104" s="15"/>
      <c r="C104" s="15"/>
      <c r="D104" s="15"/>
      <c r="E104" s="15"/>
      <c r="F104" s="15"/>
      <c r="G104" s="15" t="s">
        <v>451</v>
      </c>
      <c r="H104" s="110"/>
      <c r="I104" s="130">
        <f>250</f>
        <v>250</v>
      </c>
      <c r="J104" s="111"/>
    </row>
    <row r="105" spans="1:10" x14ac:dyDescent="0.25">
      <c r="A105" s="25" t="s">
        <v>123</v>
      </c>
      <c r="B105" s="15"/>
      <c r="C105" s="15"/>
      <c r="D105" s="15"/>
      <c r="E105" s="15"/>
      <c r="F105" s="15"/>
      <c r="G105" s="15" t="s">
        <v>609</v>
      </c>
      <c r="H105" s="110"/>
      <c r="I105" s="130">
        <f>920</f>
        <v>920</v>
      </c>
      <c r="J105" s="111"/>
    </row>
    <row r="106" spans="1:10" x14ac:dyDescent="0.25">
      <c r="A106" s="25" t="s">
        <v>123</v>
      </c>
      <c r="B106" s="15"/>
      <c r="C106" s="15"/>
      <c r="D106" s="15"/>
      <c r="E106" s="15"/>
      <c r="F106" s="15"/>
      <c r="G106" s="15" t="s">
        <v>452</v>
      </c>
      <c r="H106" s="110"/>
      <c r="I106" s="130">
        <f>3447.95</f>
        <v>3447.95</v>
      </c>
    </row>
    <row r="107" spans="1:10" x14ac:dyDescent="0.25">
      <c r="B107" s="15"/>
      <c r="C107" s="15"/>
      <c r="D107" s="15"/>
      <c r="E107" s="15"/>
      <c r="F107" s="15" t="s">
        <v>453</v>
      </c>
      <c r="G107" s="15"/>
      <c r="H107" s="110"/>
      <c r="I107" s="131">
        <f>ROUND(SUM(I101:I106),5)</f>
        <v>8766.9699999999993</v>
      </c>
    </row>
    <row r="108" spans="1:10" x14ac:dyDescent="0.25">
      <c r="A108" s="108" t="s">
        <v>131</v>
      </c>
      <c r="B108" s="15"/>
      <c r="C108" s="15"/>
      <c r="D108" s="15"/>
      <c r="E108" s="15"/>
      <c r="F108" s="15" t="s">
        <v>458</v>
      </c>
      <c r="G108" s="15"/>
      <c r="H108" s="110"/>
      <c r="I108" s="19">
        <v>0</v>
      </c>
    </row>
    <row r="109" spans="1:10" ht="15.75" thickBot="1" x14ac:dyDescent="0.3">
      <c r="A109" s="129"/>
      <c r="B109" s="15"/>
      <c r="C109" s="15"/>
      <c r="D109" s="15"/>
      <c r="E109" s="15" t="s">
        <v>454</v>
      </c>
      <c r="F109" s="15"/>
      <c r="G109" s="15"/>
      <c r="H109" s="110"/>
      <c r="I109" s="19">
        <f>ROUND(I15+I31+I36+I45+I53+I64+I74+I82+I90+SUM(I96:I96)+I100+SUM(I107:I107),5)</f>
        <v>477227</v>
      </c>
    </row>
    <row r="110" spans="1:10" s="23" customFormat="1" x14ac:dyDescent="0.25">
      <c r="A110"/>
      <c r="B110" s="15"/>
      <c r="C110" s="15"/>
      <c r="D110" s="15" t="s">
        <v>238</v>
      </c>
      <c r="E110" s="15"/>
      <c r="F110" s="15"/>
      <c r="G110" s="15"/>
      <c r="H110" s="15"/>
      <c r="I110" s="21">
        <f>ROUND(I14+SUM(I109:I109),5)</f>
        <v>477227</v>
      </c>
    </row>
    <row r="111" spans="1:10" ht="15.75" thickBot="1" x14ac:dyDescent="0.3">
      <c r="B111" s="15" t="s">
        <v>233</v>
      </c>
      <c r="C111" s="15"/>
      <c r="D111" s="15"/>
      <c r="E111" s="15"/>
      <c r="F111" s="15"/>
      <c r="G111" s="15"/>
      <c r="I111" s="22">
        <f>ROUND(I13-I110,5)</f>
        <v>15.75</v>
      </c>
    </row>
    <row r="112" spans="1:10" ht="15.75" thickTop="1" x14ac:dyDescent="0.25"/>
  </sheetData>
  <sortState xmlns:xlrd2="http://schemas.microsoft.com/office/spreadsheetml/2017/richdata2" ref="A2:J2">
    <sortCondition ref="A2"/>
  </sortState>
  <phoneticPr fontId="10" type="noConversion"/>
  <pageMargins left="0.7" right="0.7" top="0.75" bottom="0.75" header="0.1" footer="0.3"/>
  <pageSetup orientation="portrait" horizontalDpi="0" verticalDpi="0" r:id="rId1"/>
  <headerFooter>
    <oddHeader>&amp;L&amp;"Arial,Bold"&amp;8 4:16 PM
&amp;"Arial,Bold"&amp;8 03/19/20
&amp;"Arial,Bold"&amp;8 Accrual Basis&amp;C&amp;"Arial,Bold"&amp;12 Mlup Russey NGO 2019
&amp;"Arial,Bold"&amp;14 Profit &amp;&amp; Loss by Job
&amp;"Arial,Bold"&amp;10 January through December 2019</oddHeader>
    <oddFooter>&amp;R&amp;"Arial,Bold"&amp;8 Page &amp;P of &amp;N</oddFooter>
  </headerFooter>
  <drawing r:id="rId2"/>
  <legacyDrawing r:id="rId3"/>
  <controls>
    <mc:AlternateContent xmlns:mc="http://schemas.openxmlformats.org/markup-compatibility/2006">
      <mc:Choice Requires="x14">
        <control shapeId="17409" r:id="rId4" name="FILTER">
          <controlPr defaultSize="0" autoLine="0" r:id="rId5">
            <anchor moveWithCells="1">
              <from>
                <xdr:col>1</xdr:col>
                <xdr:colOff>0</xdr:colOff>
                <xdr:row>0</xdr:row>
                <xdr:rowOff>0</xdr:rowOff>
              </from>
              <to>
                <xdr:col>5</xdr:col>
                <xdr:colOff>152400</xdr:colOff>
                <xdr:row>1</xdr:row>
                <xdr:rowOff>19050</xdr:rowOff>
              </to>
            </anchor>
          </controlPr>
        </control>
      </mc:Choice>
      <mc:Fallback>
        <control shapeId="17409" r:id="rId4" name="FILTER"/>
      </mc:Fallback>
    </mc:AlternateContent>
    <mc:AlternateContent xmlns:mc="http://schemas.openxmlformats.org/markup-compatibility/2006">
      <mc:Choice Requires="x14">
        <control shapeId="17410" r:id="rId6" name="HEADER">
          <controlPr defaultSize="0" autoLine="0" r:id="rId7">
            <anchor moveWithCells="1">
              <from>
                <xdr:col>1</xdr:col>
                <xdr:colOff>0</xdr:colOff>
                <xdr:row>0</xdr:row>
                <xdr:rowOff>0</xdr:rowOff>
              </from>
              <to>
                <xdr:col>5</xdr:col>
                <xdr:colOff>152400</xdr:colOff>
                <xdr:row>1</xdr:row>
                <xdr:rowOff>19050</xdr:rowOff>
              </to>
            </anchor>
          </controlPr>
        </control>
      </mc:Choice>
      <mc:Fallback>
        <control shapeId="17410" r:id="rId6" name="HEADER"/>
      </mc:Fallback>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3EFAD9-C9EA-4B0A-A838-F47233EA44F4}">
  <dimension ref="A1:B118"/>
  <sheetViews>
    <sheetView topLeftCell="A102" workbookViewId="0">
      <selection activeCell="H112" sqref="H112"/>
    </sheetView>
  </sheetViews>
  <sheetFormatPr defaultColWidth="8.7109375" defaultRowHeight="15" x14ac:dyDescent="0.25"/>
  <cols>
    <col min="1" max="1" width="36.85546875" style="132" customWidth="1"/>
    <col min="2" max="2" width="22.28515625" style="132" customWidth="1"/>
    <col min="3" max="16384" width="8.7109375" style="132"/>
  </cols>
  <sheetData>
    <row r="1" spans="1:2" ht="18" x14ac:dyDescent="0.25">
      <c r="A1" s="247" t="s">
        <v>461</v>
      </c>
      <c r="B1" s="248"/>
    </row>
    <row r="2" spans="1:2" ht="18" x14ac:dyDescent="0.25">
      <c r="A2" s="247" t="s">
        <v>475</v>
      </c>
      <c r="B2" s="248"/>
    </row>
    <row r="3" spans="1:2" x14ac:dyDescent="0.25">
      <c r="A3" s="249" t="s">
        <v>476</v>
      </c>
      <c r="B3" s="248"/>
    </row>
    <row r="5" spans="1:2" x14ac:dyDescent="0.25">
      <c r="A5" s="133"/>
      <c r="B5" s="135" t="s">
        <v>291</v>
      </c>
    </row>
    <row r="6" spans="1:2" x14ac:dyDescent="0.25">
      <c r="A6" s="136" t="s">
        <v>234</v>
      </c>
      <c r="B6" s="137"/>
    </row>
    <row r="7" spans="1:2" x14ac:dyDescent="0.25">
      <c r="A7" s="136" t="s">
        <v>477</v>
      </c>
      <c r="B7" s="137"/>
    </row>
    <row r="8" spans="1:2" x14ac:dyDescent="0.25">
      <c r="A8" s="136" t="s">
        <v>478</v>
      </c>
      <c r="B8" s="130">
        <f>287182</f>
        <v>287182</v>
      </c>
    </row>
    <row r="9" spans="1:2" x14ac:dyDescent="0.25">
      <c r="A9" s="136" t="s">
        <v>479</v>
      </c>
      <c r="B9" s="130">
        <f>32979.36</f>
        <v>32979.360000000001</v>
      </c>
    </row>
    <row r="10" spans="1:2" x14ac:dyDescent="0.25">
      <c r="A10" s="136" t="s">
        <v>480</v>
      </c>
      <c r="B10" s="130">
        <f>940.29</f>
        <v>940.29</v>
      </c>
    </row>
    <row r="11" spans="1:2" x14ac:dyDescent="0.25">
      <c r="A11" s="136" t="s">
        <v>481</v>
      </c>
      <c r="B11" s="130">
        <f>53953.79</f>
        <v>53953.79</v>
      </c>
    </row>
    <row r="12" spans="1:2" x14ac:dyDescent="0.25">
      <c r="A12" s="136" t="s">
        <v>482</v>
      </c>
      <c r="B12" s="130">
        <f>100000</f>
        <v>100000</v>
      </c>
    </row>
    <row r="13" spans="1:2" x14ac:dyDescent="0.25">
      <c r="A13" s="136" t="s">
        <v>483</v>
      </c>
      <c r="B13" s="130">
        <f>807.54</f>
        <v>807.54</v>
      </c>
    </row>
    <row r="14" spans="1:2" x14ac:dyDescent="0.25">
      <c r="A14" s="136" t="s">
        <v>484</v>
      </c>
      <c r="B14" s="130">
        <f>1379.77</f>
        <v>1379.77</v>
      </c>
    </row>
    <row r="15" spans="1:2" x14ac:dyDescent="0.25">
      <c r="A15" s="136" t="s">
        <v>485</v>
      </c>
      <c r="B15" s="138">
        <f>(((((((B7)+(B8))+(B9))+(B10))+(B11))+(B12))+(B13))+(B14)</f>
        <v>477242.74999999994</v>
      </c>
    </row>
    <row r="16" spans="1:2" x14ac:dyDescent="0.25">
      <c r="A16" s="136" t="s">
        <v>235</v>
      </c>
      <c r="B16" s="138">
        <f>B15</f>
        <v>477242.74999999994</v>
      </c>
    </row>
    <row r="17" spans="1:2" x14ac:dyDescent="0.25">
      <c r="A17" s="136" t="s">
        <v>236</v>
      </c>
      <c r="B17" s="138">
        <f>(B16)-(0)</f>
        <v>477242.74999999994</v>
      </c>
    </row>
    <row r="18" spans="1:2" x14ac:dyDescent="0.25">
      <c r="A18" s="136" t="s">
        <v>486</v>
      </c>
      <c r="B18" s="137"/>
    </row>
    <row r="19" spans="1:2" x14ac:dyDescent="0.25">
      <c r="A19" s="136" t="s">
        <v>487</v>
      </c>
      <c r="B19" s="137"/>
    </row>
    <row r="20" spans="1:2" x14ac:dyDescent="0.25">
      <c r="A20" s="136" t="s">
        <v>488</v>
      </c>
      <c r="B20" s="137"/>
    </row>
    <row r="21" spans="1:2" x14ac:dyDescent="0.25">
      <c r="A21" s="136" t="s">
        <v>489</v>
      </c>
      <c r="B21" s="130">
        <f>6474.98</f>
        <v>6474.98</v>
      </c>
    </row>
    <row r="22" spans="1:2" x14ac:dyDescent="0.25">
      <c r="A22" s="136" t="s">
        <v>490</v>
      </c>
      <c r="B22" s="130">
        <f>9393.58</f>
        <v>9393.58</v>
      </c>
    </row>
    <row r="23" spans="1:2" x14ac:dyDescent="0.25">
      <c r="A23" s="136" t="s">
        <v>491</v>
      </c>
      <c r="B23" s="130">
        <f>62538.73</f>
        <v>62538.73</v>
      </c>
    </row>
    <row r="24" spans="1:2" x14ac:dyDescent="0.25">
      <c r="A24" s="136" t="s">
        <v>492</v>
      </c>
      <c r="B24" s="130">
        <f>14812.31</f>
        <v>14812.31</v>
      </c>
    </row>
    <row r="25" spans="1:2" x14ac:dyDescent="0.25">
      <c r="A25" s="136" t="s">
        <v>493</v>
      </c>
      <c r="B25" s="130">
        <f>846.89</f>
        <v>846.89</v>
      </c>
    </row>
    <row r="26" spans="1:2" x14ac:dyDescent="0.25">
      <c r="A26" s="136" t="s">
        <v>494</v>
      </c>
      <c r="B26" s="130">
        <f>25</f>
        <v>25</v>
      </c>
    </row>
    <row r="27" spans="1:2" x14ac:dyDescent="0.25">
      <c r="A27" s="136" t="s">
        <v>495</v>
      </c>
      <c r="B27" s="130">
        <f>45.75</f>
        <v>45.75</v>
      </c>
    </row>
    <row r="28" spans="1:2" x14ac:dyDescent="0.25">
      <c r="A28" s="136" t="s">
        <v>496</v>
      </c>
      <c r="B28" s="130">
        <f>3004.24</f>
        <v>3004.24</v>
      </c>
    </row>
    <row r="29" spans="1:2" x14ac:dyDescent="0.25">
      <c r="A29" s="136" t="s">
        <v>497</v>
      </c>
      <c r="B29" s="130">
        <f>216.57</f>
        <v>216.57</v>
      </c>
    </row>
    <row r="30" spans="1:2" x14ac:dyDescent="0.25">
      <c r="A30" s="136" t="s">
        <v>498</v>
      </c>
      <c r="B30" s="130">
        <f>85</f>
        <v>85</v>
      </c>
    </row>
    <row r="31" spans="1:2" x14ac:dyDescent="0.25">
      <c r="A31" s="136" t="s">
        <v>499</v>
      </c>
      <c r="B31" s="130">
        <f>894.61</f>
        <v>894.61</v>
      </c>
    </row>
    <row r="32" spans="1:2" x14ac:dyDescent="0.25">
      <c r="A32" s="136" t="s">
        <v>500</v>
      </c>
      <c r="B32" s="130">
        <f>1029.34</f>
        <v>1029.3399999999999</v>
      </c>
    </row>
    <row r="33" spans="1:2" x14ac:dyDescent="0.25">
      <c r="A33" s="136" t="s">
        <v>501</v>
      </c>
      <c r="B33" s="130">
        <f>322.32</f>
        <v>322.32</v>
      </c>
    </row>
    <row r="34" spans="1:2" x14ac:dyDescent="0.25">
      <c r="A34" s="136" t="s">
        <v>502</v>
      </c>
      <c r="B34" s="130">
        <f>14121.55</f>
        <v>14121.55</v>
      </c>
    </row>
    <row r="35" spans="1:2" x14ac:dyDescent="0.25">
      <c r="A35" s="136" t="s">
        <v>503</v>
      </c>
      <c r="B35" s="138">
        <f>((((((((((((((B20)+(B21))+(B22))+(B23))+(B24))+(B25))+(B26))+(B27))+(B28))+(B29))+(B30))+(B31))+(B32))+(B33))+(B34)</f>
        <v>113810.87000000002</v>
      </c>
    </row>
    <row r="36" spans="1:2" x14ac:dyDescent="0.25">
      <c r="A36" s="136" t="s">
        <v>504</v>
      </c>
      <c r="B36" s="137"/>
    </row>
    <row r="37" spans="1:2" x14ac:dyDescent="0.25">
      <c r="A37" s="136" t="s">
        <v>505</v>
      </c>
      <c r="B37" s="130">
        <f>2.93</f>
        <v>2.93</v>
      </c>
    </row>
    <row r="38" spans="1:2" x14ac:dyDescent="0.25">
      <c r="A38" s="136" t="s">
        <v>506</v>
      </c>
      <c r="B38" s="130">
        <f>47</f>
        <v>47</v>
      </c>
    </row>
    <row r="39" spans="1:2" x14ac:dyDescent="0.25">
      <c r="A39" s="136" t="s">
        <v>507</v>
      </c>
      <c r="B39" s="130">
        <f>1576.13</f>
        <v>1576.13</v>
      </c>
    </row>
    <row r="40" spans="1:2" x14ac:dyDescent="0.25">
      <c r="A40" s="136" t="s">
        <v>508</v>
      </c>
      <c r="B40" s="138">
        <f>(((B36)+(B37))+(B38))+(B39)</f>
        <v>1626.0600000000002</v>
      </c>
    </row>
    <row r="41" spans="1:2" x14ac:dyDescent="0.25">
      <c r="A41" s="136" t="s">
        <v>509</v>
      </c>
      <c r="B41" s="137"/>
    </row>
    <row r="42" spans="1:2" x14ac:dyDescent="0.25">
      <c r="A42" s="136" t="s">
        <v>510</v>
      </c>
      <c r="B42" s="130">
        <f>2322.24</f>
        <v>2322.2399999999998</v>
      </c>
    </row>
    <row r="43" spans="1:2" x14ac:dyDescent="0.25">
      <c r="A43" s="136" t="s">
        <v>511</v>
      </c>
      <c r="B43" s="130">
        <f>628.66</f>
        <v>628.66</v>
      </c>
    </row>
    <row r="44" spans="1:2" x14ac:dyDescent="0.25">
      <c r="A44" s="136" t="s">
        <v>512</v>
      </c>
      <c r="B44" s="130">
        <f>24.71</f>
        <v>24.71</v>
      </c>
    </row>
    <row r="45" spans="1:2" x14ac:dyDescent="0.25">
      <c r="A45" s="136" t="s">
        <v>513</v>
      </c>
      <c r="B45" s="130">
        <f>1010</f>
        <v>1010</v>
      </c>
    </row>
    <row r="46" spans="1:2" x14ac:dyDescent="0.25">
      <c r="A46" s="136" t="s">
        <v>514</v>
      </c>
      <c r="B46" s="130">
        <f>541.15</f>
        <v>541.15</v>
      </c>
    </row>
    <row r="47" spans="1:2" x14ac:dyDescent="0.25">
      <c r="A47" s="136" t="s">
        <v>515</v>
      </c>
      <c r="B47" s="130">
        <f>8127.29</f>
        <v>8127.29</v>
      </c>
    </row>
    <row r="48" spans="1:2" x14ac:dyDescent="0.25">
      <c r="A48" s="136" t="s">
        <v>516</v>
      </c>
      <c r="B48" s="130">
        <f>420.74</f>
        <v>420.74</v>
      </c>
    </row>
    <row r="49" spans="1:2" x14ac:dyDescent="0.25">
      <c r="A49" s="136" t="s">
        <v>517</v>
      </c>
      <c r="B49" s="138">
        <f>(((((((B41)+(B42))+(B43))+(B44))+(B45))+(B46))+(B47))+(B48)</f>
        <v>13074.789999999999</v>
      </c>
    </row>
    <row r="50" spans="1:2" x14ac:dyDescent="0.25">
      <c r="A50" s="136" t="s">
        <v>518</v>
      </c>
      <c r="B50" s="137"/>
    </row>
    <row r="51" spans="1:2" x14ac:dyDescent="0.25">
      <c r="A51" s="136" t="s">
        <v>519</v>
      </c>
      <c r="B51" s="130">
        <f>9405</f>
        <v>9405</v>
      </c>
    </row>
    <row r="52" spans="1:2" x14ac:dyDescent="0.25">
      <c r="A52" s="136" t="s">
        <v>520</v>
      </c>
      <c r="B52" s="130">
        <f>6414.73</f>
        <v>6414.73</v>
      </c>
    </row>
    <row r="53" spans="1:2" x14ac:dyDescent="0.25">
      <c r="A53" s="136" t="s">
        <v>521</v>
      </c>
      <c r="B53" s="130">
        <f>1951.52</f>
        <v>1951.52</v>
      </c>
    </row>
    <row r="54" spans="1:2" x14ac:dyDescent="0.25">
      <c r="A54" s="136" t="s">
        <v>522</v>
      </c>
      <c r="B54" s="130">
        <f>27077.17</f>
        <v>27077.17</v>
      </c>
    </row>
    <row r="55" spans="1:2" x14ac:dyDescent="0.25">
      <c r="A55" s="136" t="s">
        <v>523</v>
      </c>
      <c r="B55" s="130">
        <f>1573.43</f>
        <v>1573.43</v>
      </c>
    </row>
    <row r="56" spans="1:2" x14ac:dyDescent="0.25">
      <c r="A56" s="136" t="s">
        <v>524</v>
      </c>
      <c r="B56" s="130">
        <f>3891.85</f>
        <v>3891.85</v>
      </c>
    </row>
    <row r="57" spans="1:2" x14ac:dyDescent="0.25">
      <c r="A57" s="136" t="s">
        <v>525</v>
      </c>
      <c r="B57" s="138">
        <f>((((((B50)+(B51))+(B52))+(B53))+(B54))+(B55))+(B56)</f>
        <v>50313.7</v>
      </c>
    </row>
    <row r="58" spans="1:2" x14ac:dyDescent="0.25">
      <c r="A58" s="136" t="s">
        <v>526</v>
      </c>
      <c r="B58" s="130"/>
    </row>
    <row r="59" spans="1:2" x14ac:dyDescent="0.25">
      <c r="A59" s="136" t="s">
        <v>527</v>
      </c>
      <c r="B59" s="130">
        <f>279.91+720</f>
        <v>999.91000000000008</v>
      </c>
    </row>
    <row r="60" spans="1:2" x14ac:dyDescent="0.25">
      <c r="A60" s="136" t="s">
        <v>528</v>
      </c>
      <c r="B60" s="130">
        <f>59.32</f>
        <v>59.32</v>
      </c>
    </row>
    <row r="61" spans="1:2" x14ac:dyDescent="0.25">
      <c r="A61" s="136" t="s">
        <v>529</v>
      </c>
      <c r="B61" s="130">
        <f>9180.41</f>
        <v>9180.41</v>
      </c>
    </row>
    <row r="62" spans="1:2" x14ac:dyDescent="0.25">
      <c r="A62" s="136" t="s">
        <v>530</v>
      </c>
      <c r="B62" s="130">
        <f>3449.9</f>
        <v>3449.9</v>
      </c>
    </row>
    <row r="63" spans="1:2" x14ac:dyDescent="0.25">
      <c r="A63" s="136" t="s">
        <v>531</v>
      </c>
      <c r="B63" s="130">
        <f>18646.04</f>
        <v>18646.04</v>
      </c>
    </row>
    <row r="64" spans="1:2" x14ac:dyDescent="0.25">
      <c r="A64" s="136" t="s">
        <v>532</v>
      </c>
      <c r="B64" s="130">
        <f>405.58</f>
        <v>405.58</v>
      </c>
    </row>
    <row r="65" spans="1:2" x14ac:dyDescent="0.25">
      <c r="A65" s="136" t="s">
        <v>533</v>
      </c>
      <c r="B65" s="130">
        <f>15.7</f>
        <v>15.7</v>
      </c>
    </row>
    <row r="66" spans="1:2" x14ac:dyDescent="0.25">
      <c r="A66" s="136" t="s">
        <v>534</v>
      </c>
      <c r="B66" s="130">
        <f>2594.32</f>
        <v>2594.3200000000002</v>
      </c>
    </row>
    <row r="67" spans="1:2" x14ac:dyDescent="0.25">
      <c r="A67" s="136" t="s">
        <v>535</v>
      </c>
      <c r="B67" s="130">
        <f>2376.71</f>
        <v>2376.71</v>
      </c>
    </row>
    <row r="68" spans="1:2" x14ac:dyDescent="0.25">
      <c r="A68" s="136" t="s">
        <v>536</v>
      </c>
      <c r="B68" s="138">
        <f>(((((((((B58)+(B59))+(B60))+(B61))+(B62))+(B63))+(B64))+(B65))+(B66))+(B67)</f>
        <v>37727.890000000007</v>
      </c>
    </row>
    <row r="69" spans="1:2" x14ac:dyDescent="0.25">
      <c r="A69" s="136" t="s">
        <v>537</v>
      </c>
      <c r="B69" s="137"/>
    </row>
    <row r="70" spans="1:2" x14ac:dyDescent="0.25">
      <c r="A70" s="136" t="s">
        <v>538</v>
      </c>
      <c r="B70" s="130">
        <f>199053.64</f>
        <v>199053.64</v>
      </c>
    </row>
    <row r="71" spans="1:2" x14ac:dyDescent="0.25">
      <c r="A71" s="136" t="s">
        <v>539</v>
      </c>
      <c r="B71" s="130">
        <f>64.16</f>
        <v>64.16</v>
      </c>
    </row>
    <row r="72" spans="1:2" x14ac:dyDescent="0.25">
      <c r="A72" s="136" t="s">
        <v>540</v>
      </c>
      <c r="B72" s="130">
        <f>55.44</f>
        <v>55.44</v>
      </c>
    </row>
    <row r="73" spans="1:2" x14ac:dyDescent="0.25">
      <c r="A73" s="136" t="s">
        <v>541</v>
      </c>
      <c r="B73" s="130">
        <f>6138.5</f>
        <v>6138.5</v>
      </c>
    </row>
    <row r="74" spans="1:2" x14ac:dyDescent="0.25">
      <c r="A74" s="136" t="s">
        <v>542</v>
      </c>
      <c r="B74" s="130">
        <f>2435.61</f>
        <v>2435.61</v>
      </c>
    </row>
    <row r="75" spans="1:2" x14ac:dyDescent="0.25">
      <c r="A75" s="136" t="s">
        <v>543</v>
      </c>
      <c r="B75" s="130">
        <f>250.46</f>
        <v>250.46</v>
      </c>
    </row>
    <row r="76" spans="1:2" x14ac:dyDescent="0.25">
      <c r="A76" s="136" t="s">
        <v>544</v>
      </c>
      <c r="B76" s="130">
        <f>338.8</f>
        <v>338.8</v>
      </c>
    </row>
    <row r="77" spans="1:2" x14ac:dyDescent="0.25">
      <c r="A77" s="136" t="s">
        <v>545</v>
      </c>
      <c r="B77" s="130">
        <f>385.17</f>
        <v>385.17</v>
      </c>
    </row>
    <row r="78" spans="1:2" x14ac:dyDescent="0.25">
      <c r="A78" s="136" t="s">
        <v>546</v>
      </c>
      <c r="B78" s="138">
        <f>((((((((B69)+(B70))+(B71))+(B72))+(B73))+(B74))+(B75))+(B76))+(B77)</f>
        <v>208721.78</v>
      </c>
    </row>
    <row r="79" spans="1:2" x14ac:dyDescent="0.25">
      <c r="A79" s="136" t="s">
        <v>547</v>
      </c>
      <c r="B79" s="130"/>
    </row>
    <row r="80" spans="1:2" x14ac:dyDescent="0.25">
      <c r="A80" s="136" t="s">
        <v>548</v>
      </c>
      <c r="B80" s="130">
        <f>1634.41+130.19</f>
        <v>1764.6000000000001</v>
      </c>
    </row>
    <row r="81" spans="1:2" x14ac:dyDescent="0.25">
      <c r="A81" s="136" t="s">
        <v>549</v>
      </c>
      <c r="B81" s="130">
        <f>42.85</f>
        <v>42.85</v>
      </c>
    </row>
    <row r="82" spans="1:2" x14ac:dyDescent="0.25">
      <c r="A82" s="136" t="s">
        <v>550</v>
      </c>
      <c r="B82" s="130">
        <f>3.06</f>
        <v>3.06</v>
      </c>
    </row>
    <row r="83" spans="1:2" x14ac:dyDescent="0.25">
      <c r="A83" s="136" t="s">
        <v>551</v>
      </c>
      <c r="B83" s="130">
        <f>82.25</f>
        <v>82.25</v>
      </c>
    </row>
    <row r="84" spans="1:2" x14ac:dyDescent="0.25">
      <c r="A84" s="136" t="s">
        <v>552</v>
      </c>
      <c r="B84" s="130">
        <f>2335.3</f>
        <v>2335.3000000000002</v>
      </c>
    </row>
    <row r="85" spans="1:2" x14ac:dyDescent="0.25">
      <c r="A85" s="136" t="s">
        <v>553</v>
      </c>
      <c r="B85" s="130">
        <f>7710.82</f>
        <v>7710.82</v>
      </c>
    </row>
    <row r="86" spans="1:2" x14ac:dyDescent="0.25">
      <c r="A86" s="136" t="s">
        <v>554</v>
      </c>
      <c r="B86" s="138">
        <f>((((((B79)+(B80))+(B81))+(B82))+(B83))+(B84))+(B85)</f>
        <v>11938.880000000001</v>
      </c>
    </row>
    <row r="87" spans="1:2" x14ac:dyDescent="0.25">
      <c r="A87" s="136" t="s">
        <v>555</v>
      </c>
      <c r="B87" s="137"/>
    </row>
    <row r="88" spans="1:2" x14ac:dyDescent="0.25">
      <c r="A88" s="136" t="s">
        <v>556</v>
      </c>
      <c r="B88" s="130">
        <f>11360.96</f>
        <v>11360.96</v>
      </c>
    </row>
    <row r="89" spans="1:2" x14ac:dyDescent="0.25">
      <c r="A89" s="136" t="s">
        <v>557</v>
      </c>
      <c r="B89" s="130">
        <f>3300.16</f>
        <v>3300.16</v>
      </c>
    </row>
    <row r="90" spans="1:2" x14ac:dyDescent="0.25">
      <c r="A90" s="136" t="s">
        <v>558</v>
      </c>
      <c r="B90" s="130">
        <f>475.34</f>
        <v>475.34</v>
      </c>
    </row>
    <row r="91" spans="1:2" x14ac:dyDescent="0.25">
      <c r="A91" s="136" t="s">
        <v>559</v>
      </c>
      <c r="B91" s="130">
        <f>1529.9</f>
        <v>1529.9</v>
      </c>
    </row>
    <row r="92" spans="1:2" x14ac:dyDescent="0.25">
      <c r="A92" s="136" t="s">
        <v>560</v>
      </c>
      <c r="B92" s="130">
        <f>992.57</f>
        <v>992.57</v>
      </c>
    </row>
    <row r="93" spans="1:2" x14ac:dyDescent="0.25">
      <c r="A93" s="136" t="s">
        <v>561</v>
      </c>
      <c r="B93" s="130">
        <f>203.29</f>
        <v>203.29</v>
      </c>
    </row>
    <row r="94" spans="1:2" x14ac:dyDescent="0.25">
      <c r="A94" s="136" t="s">
        <v>562</v>
      </c>
      <c r="B94" s="138">
        <f>((((((B87)+(B88))+(B89))+(B90))+(B91))+(B92))+(B93)</f>
        <v>17862.22</v>
      </c>
    </row>
    <row r="95" spans="1:2" x14ac:dyDescent="0.25">
      <c r="A95" s="136" t="s">
        <v>563</v>
      </c>
      <c r="B95" s="130"/>
    </row>
    <row r="96" spans="1:2" x14ac:dyDescent="0.25">
      <c r="A96" s="136" t="s">
        <v>564</v>
      </c>
      <c r="B96" s="130">
        <f>5797.89+245</f>
        <v>6042.89</v>
      </c>
    </row>
    <row r="97" spans="1:2" x14ac:dyDescent="0.25">
      <c r="A97" s="136" t="s">
        <v>565</v>
      </c>
      <c r="B97" s="130">
        <f>558</f>
        <v>558</v>
      </c>
    </row>
    <row r="98" spans="1:2" x14ac:dyDescent="0.25">
      <c r="A98" s="136" t="s">
        <v>566</v>
      </c>
      <c r="B98" s="130">
        <f>1678.05</f>
        <v>1678.05</v>
      </c>
    </row>
    <row r="99" spans="1:2" x14ac:dyDescent="0.25">
      <c r="A99" s="136" t="s">
        <v>567</v>
      </c>
      <c r="B99" s="130">
        <f>3.4</f>
        <v>3.4</v>
      </c>
    </row>
    <row r="100" spans="1:2" x14ac:dyDescent="0.25">
      <c r="A100" s="136" t="s">
        <v>568</v>
      </c>
      <c r="B100" s="138">
        <f>((((B95)+(B96))+(B97))+(B98))+(B99)</f>
        <v>8282.34</v>
      </c>
    </row>
    <row r="101" spans="1:2" x14ac:dyDescent="0.25">
      <c r="A101" s="136" t="s">
        <v>569</v>
      </c>
      <c r="B101" s="137"/>
    </row>
    <row r="102" spans="1:2" x14ac:dyDescent="0.25">
      <c r="A102" s="136" t="s">
        <v>570</v>
      </c>
      <c r="B102" s="130">
        <f>3853.8</f>
        <v>3853.8</v>
      </c>
    </row>
    <row r="103" spans="1:2" x14ac:dyDescent="0.25">
      <c r="A103" s="136" t="s">
        <v>571</v>
      </c>
      <c r="B103" s="130">
        <f>1247.7</f>
        <v>1247.7</v>
      </c>
    </row>
    <row r="104" spans="1:2" x14ac:dyDescent="0.25">
      <c r="A104" s="136" t="s">
        <v>572</v>
      </c>
      <c r="B104" s="138">
        <f>((B101)+(B102))+(B103)</f>
        <v>5101.5</v>
      </c>
    </row>
    <row r="105" spans="1:2" x14ac:dyDescent="0.25">
      <c r="A105" s="136" t="s">
        <v>573</v>
      </c>
      <c r="B105" s="137"/>
    </row>
    <row r="106" spans="1:2" x14ac:dyDescent="0.25">
      <c r="A106" s="136" t="s">
        <v>574</v>
      </c>
      <c r="B106" s="130">
        <f>3520</f>
        <v>3520</v>
      </c>
    </row>
    <row r="107" spans="1:2" x14ac:dyDescent="0.25">
      <c r="A107" s="136" t="s">
        <v>575</v>
      </c>
      <c r="B107" s="130">
        <f>629.02</f>
        <v>629.02</v>
      </c>
    </row>
    <row r="108" spans="1:2" x14ac:dyDescent="0.25">
      <c r="A108" s="136" t="s">
        <v>576</v>
      </c>
      <c r="B108" s="130">
        <f>250</f>
        <v>250</v>
      </c>
    </row>
    <row r="109" spans="1:2" x14ac:dyDescent="0.25">
      <c r="A109" s="136" t="s">
        <v>577</v>
      </c>
      <c r="B109" s="130">
        <f>920</f>
        <v>920</v>
      </c>
    </row>
    <row r="110" spans="1:2" x14ac:dyDescent="0.25">
      <c r="A110" s="136" t="s">
        <v>578</v>
      </c>
      <c r="B110" s="130">
        <f>3447.95</f>
        <v>3447.95</v>
      </c>
    </row>
    <row r="111" spans="1:2" x14ac:dyDescent="0.25">
      <c r="A111" s="136" t="s">
        <v>579</v>
      </c>
      <c r="B111" s="138">
        <f>(((((B105)+(B106))+(B107))+(B108))+(B109))+(B110)</f>
        <v>8766.9700000000012</v>
      </c>
    </row>
    <row r="112" spans="1:2" x14ac:dyDescent="0.25">
      <c r="A112" s="136" t="s">
        <v>580</v>
      </c>
      <c r="B112" s="138">
        <f>(((((((((((B19)+(B35))+(B40))+(B49))+(B57))+(B68))+(B78))+(B86))+(B94))+(B100))+(B104))+(B111)</f>
        <v>477227.00000000012</v>
      </c>
    </row>
    <row r="113" spans="1:2" x14ac:dyDescent="0.25">
      <c r="A113" s="136" t="s">
        <v>581</v>
      </c>
      <c r="B113" s="138">
        <f>B112</f>
        <v>477227.00000000012</v>
      </c>
    </row>
    <row r="114" spans="1:2" x14ac:dyDescent="0.25">
      <c r="A114" s="136" t="s">
        <v>582</v>
      </c>
      <c r="B114" s="138">
        <f>((((B16)+(0))-(0))-(B113))-(0)</f>
        <v>15.749999999825377</v>
      </c>
    </row>
    <row r="115" spans="1:2" x14ac:dyDescent="0.25">
      <c r="A115" s="136"/>
      <c r="B115" s="137"/>
    </row>
    <row r="118" spans="1:2" x14ac:dyDescent="0.25">
      <c r="A118" s="250" t="s">
        <v>583</v>
      </c>
      <c r="B118" s="248"/>
    </row>
  </sheetData>
  <mergeCells count="4">
    <mergeCell ref="A1:B1"/>
    <mergeCell ref="A2:B2"/>
    <mergeCell ref="A3:B3"/>
    <mergeCell ref="A118:B118"/>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867DB9-3828-468C-A543-AD8FD7AC761F}">
  <dimension ref="A1:K66"/>
  <sheetViews>
    <sheetView topLeftCell="B45" workbookViewId="0">
      <selection activeCell="E12" sqref="E12"/>
    </sheetView>
  </sheetViews>
  <sheetFormatPr defaultColWidth="8.85546875" defaultRowHeight="15" x14ac:dyDescent="0.25"/>
  <cols>
    <col min="1" max="1" width="6.42578125" style="132" customWidth="1"/>
    <col min="2" max="2" width="7.7109375" style="132" customWidth="1"/>
    <col min="3" max="3" width="42.28515625" style="132" customWidth="1"/>
    <col min="4" max="6" width="10.42578125" style="132" bestFit="1" customWidth="1"/>
    <col min="7" max="7" width="2.42578125" style="132" customWidth="1"/>
    <col min="8" max="8" width="15.28515625" style="132" bestFit="1" customWidth="1"/>
    <col min="9" max="9" width="14" style="132" customWidth="1"/>
    <col min="10" max="10" width="13.7109375" style="132" customWidth="1"/>
    <col min="11" max="16384" width="8.85546875" style="132"/>
  </cols>
  <sheetData>
    <row r="1" spans="1:11" ht="18" x14ac:dyDescent="0.25">
      <c r="A1" s="247" t="s">
        <v>711</v>
      </c>
      <c r="B1" s="247"/>
      <c r="C1" s="247"/>
      <c r="D1" s="247"/>
      <c r="E1" s="247"/>
      <c r="F1" s="247"/>
      <c r="G1" s="247"/>
      <c r="H1" s="247"/>
      <c r="I1" s="247"/>
      <c r="J1" s="247"/>
      <c r="K1" s="247"/>
    </row>
    <row r="2" spans="1:11" ht="18" x14ac:dyDescent="0.25">
      <c r="A2" s="247" t="s">
        <v>475</v>
      </c>
      <c r="B2" s="247"/>
      <c r="C2" s="247"/>
      <c r="D2" s="247"/>
      <c r="E2" s="247"/>
      <c r="F2" s="247"/>
      <c r="G2" s="247"/>
      <c r="H2" s="247"/>
      <c r="I2" s="247"/>
      <c r="J2" s="247"/>
      <c r="K2" s="247"/>
    </row>
    <row r="3" spans="1:11" x14ac:dyDescent="0.25">
      <c r="A3" s="249" t="s">
        <v>709</v>
      </c>
      <c r="B3" s="249"/>
      <c r="C3" s="249"/>
      <c r="D3" s="249"/>
      <c r="E3" s="249"/>
      <c r="F3" s="249"/>
      <c r="G3" s="249"/>
      <c r="H3" s="249"/>
      <c r="I3" s="249"/>
      <c r="J3" s="249"/>
      <c r="K3" s="249"/>
    </row>
    <row r="4" spans="1:11" x14ac:dyDescent="0.25">
      <c r="A4" s="196"/>
      <c r="B4" s="196"/>
      <c r="C4" s="197"/>
      <c r="D4" s="198" t="s">
        <v>291</v>
      </c>
      <c r="E4" s="196"/>
      <c r="F4" s="196"/>
      <c r="G4" s="246"/>
      <c r="H4" s="253" t="s">
        <v>710</v>
      </c>
      <c r="I4" s="253"/>
      <c r="J4" s="253"/>
    </row>
    <row r="5" spans="1:11" x14ac:dyDescent="0.25">
      <c r="A5" s="254" t="s">
        <v>234</v>
      </c>
      <c r="B5" s="254"/>
      <c r="C5" s="254"/>
      <c r="D5" s="199"/>
      <c r="E5" s="196"/>
      <c r="F5" s="196"/>
      <c r="G5" s="246"/>
      <c r="H5" s="224" t="s">
        <v>712</v>
      </c>
      <c r="I5" s="220"/>
      <c r="J5" s="238">
        <v>4025</v>
      </c>
    </row>
    <row r="6" spans="1:11" x14ac:dyDescent="0.25">
      <c r="A6" s="200" t="s">
        <v>106</v>
      </c>
      <c r="B6" s="196">
        <v>8500</v>
      </c>
      <c r="C6" s="201" t="str">
        <f>VLOOKUP($B6,' TB'!$A$6:$E$137,2,FALSE)</f>
        <v>Transfer from ERIKS HQ</v>
      </c>
      <c r="D6" s="202">
        <f>VLOOKUP($B6,' TB'!$A$6:$E$137,4,FALSE)</f>
        <v>245314</v>
      </c>
      <c r="E6" s="196"/>
      <c r="F6" s="196"/>
      <c r="G6" s="246"/>
      <c r="H6" s="239">
        <f>D6*$J$5</f>
        <v>987388850</v>
      </c>
      <c r="I6" s="220"/>
      <c r="J6" s="220"/>
    </row>
    <row r="7" spans="1:11" x14ac:dyDescent="0.25">
      <c r="A7" s="200" t="s">
        <v>108</v>
      </c>
      <c r="B7" s="196">
        <v>8700</v>
      </c>
      <c r="C7" s="201" t="str">
        <f>VLOOKUP($B7,' TB'!$A$6:$E$137,2,FALSE)</f>
        <v>Income from Bank Interest</v>
      </c>
      <c r="D7" s="202">
        <f>VLOOKUP($B7,' TB'!$A$6:$E$137,4,FALSE)</f>
        <v>86.68</v>
      </c>
      <c r="E7" s="196"/>
      <c r="F7" s="196"/>
      <c r="G7" s="246"/>
      <c r="H7" s="240">
        <f>D7*$J$5</f>
        <v>348887</v>
      </c>
      <c r="I7" s="220"/>
      <c r="J7" s="241"/>
    </row>
    <row r="8" spans="1:11" ht="15.75" thickBot="1" x14ac:dyDescent="0.3">
      <c r="A8" s="196"/>
      <c r="B8" s="196"/>
      <c r="C8" s="203" t="s">
        <v>235</v>
      </c>
      <c r="D8" s="204">
        <f>SUM(D6:D7)</f>
        <v>245400.68</v>
      </c>
      <c r="E8" s="196"/>
      <c r="F8" s="196"/>
      <c r="G8" s="246"/>
      <c r="H8" s="242">
        <f>D8*$J$5</f>
        <v>987737737</v>
      </c>
      <c r="I8" s="220"/>
      <c r="J8" s="243">
        <f>H8</f>
        <v>987737737</v>
      </c>
    </row>
    <row r="9" spans="1:11" ht="16.5" thickTop="1" thickBot="1" x14ac:dyDescent="0.3">
      <c r="A9" s="196"/>
      <c r="B9" s="196"/>
      <c r="C9" s="252" t="s">
        <v>236</v>
      </c>
      <c r="D9" s="252"/>
      <c r="E9" s="252"/>
      <c r="F9" s="205">
        <f>D8</f>
        <v>245400.68</v>
      </c>
      <c r="G9" s="245"/>
      <c r="H9" s="239"/>
      <c r="I9" s="220"/>
      <c r="J9" s="220"/>
    </row>
    <row r="10" spans="1:11" ht="15.75" thickTop="1" x14ac:dyDescent="0.25">
      <c r="A10" s="254" t="s">
        <v>486</v>
      </c>
      <c r="B10" s="254"/>
      <c r="C10" s="254"/>
      <c r="D10" s="199"/>
      <c r="E10" s="196"/>
      <c r="F10" s="196"/>
      <c r="G10" s="246"/>
      <c r="H10" s="239"/>
      <c r="I10" s="220"/>
      <c r="J10" s="220"/>
    </row>
    <row r="11" spans="1:11" x14ac:dyDescent="0.25">
      <c r="A11" s="196"/>
      <c r="B11" s="254" t="s">
        <v>663</v>
      </c>
      <c r="C11" s="254"/>
      <c r="D11" s="199"/>
      <c r="E11" s="196"/>
      <c r="F11" s="196"/>
      <c r="G11" s="246"/>
      <c r="H11" s="239"/>
      <c r="I11" s="220"/>
      <c r="J11" s="220"/>
    </row>
    <row r="12" spans="1:11" x14ac:dyDescent="0.25">
      <c r="A12" s="200" t="s">
        <v>116</v>
      </c>
      <c r="B12" s="206">
        <v>3001</v>
      </c>
      <c r="C12" s="201" t="str">
        <f>VLOOKUP($B12,' TB'!$A$6:$E$137,2,FALSE)</f>
        <v>Salaries</v>
      </c>
      <c r="D12" s="202">
        <f>VLOOKUP($B12,' TB'!$A$6:$E$137,3,FALSE)</f>
        <v>153617.82</v>
      </c>
      <c r="E12" s="196"/>
      <c r="F12" s="196"/>
      <c r="G12" s="246"/>
      <c r="H12" s="239">
        <f t="shared" ref="H12:H18" si="0">D12*$J$5</f>
        <v>618311725.5</v>
      </c>
      <c r="I12" s="220"/>
      <c r="J12" s="220"/>
    </row>
    <row r="13" spans="1:11" x14ac:dyDescent="0.25">
      <c r="A13" s="200" t="s">
        <v>116</v>
      </c>
      <c r="B13" s="206">
        <v>3002</v>
      </c>
      <c r="C13" s="201" t="str">
        <f>VLOOKUP($B13,' TB'!$A$6:$E$137,2,FALSE)</f>
        <v>Staff Seniority</v>
      </c>
      <c r="D13" s="202">
        <f>VLOOKUP($B13,' TB'!$A$6:$E$137,3,FALSE)</f>
        <v>11430.72</v>
      </c>
      <c r="E13" s="196"/>
      <c r="F13" s="196"/>
      <c r="G13" s="246"/>
      <c r="H13" s="239">
        <f t="shared" si="0"/>
        <v>46008648</v>
      </c>
      <c r="I13" s="220"/>
      <c r="J13" s="220"/>
    </row>
    <row r="14" spans="1:11" x14ac:dyDescent="0.25">
      <c r="A14" s="200" t="s">
        <v>116</v>
      </c>
      <c r="B14" s="206">
        <v>3003</v>
      </c>
      <c r="C14" s="201" t="str">
        <f>VLOOKUP($B14,' TB'!$A$6:$E$137,2,FALSE)</f>
        <v>Group Accident insurance</v>
      </c>
      <c r="D14" s="202">
        <f>VLOOKUP($B14,' TB'!$A$6:$E$137,3,FALSE)</f>
        <v>250</v>
      </c>
      <c r="E14" s="196"/>
      <c r="F14" s="196"/>
      <c r="G14" s="246"/>
      <c r="H14" s="239">
        <f t="shared" si="0"/>
        <v>1006250</v>
      </c>
      <c r="I14" s="220"/>
      <c r="J14" s="220"/>
    </row>
    <row r="15" spans="1:11" x14ac:dyDescent="0.25">
      <c r="A15" s="200" t="s">
        <v>116</v>
      </c>
      <c r="B15" s="206">
        <v>3005</v>
      </c>
      <c r="C15" s="201" t="str">
        <f>VLOOKUP($B15,' TB'!$A$6:$E$137,2,FALSE)</f>
        <v>Social Security Insurances for staff</v>
      </c>
      <c r="D15" s="202">
        <f>VLOOKUP($B15,' TB'!$A$6:$E$137,3,FALSE)</f>
        <v>1359.43</v>
      </c>
      <c r="E15" s="196"/>
      <c r="F15" s="196"/>
      <c r="G15" s="246"/>
      <c r="H15" s="239">
        <f t="shared" si="0"/>
        <v>5471705.75</v>
      </c>
      <c r="I15" s="220"/>
      <c r="J15" s="220"/>
    </row>
    <row r="16" spans="1:11" x14ac:dyDescent="0.25">
      <c r="A16" s="200" t="s">
        <v>116</v>
      </c>
      <c r="B16" s="206">
        <v>3006</v>
      </c>
      <c r="C16" s="201" t="str">
        <f>VLOOKUP($B16,' TB'!$A$6:$E$137,2,FALSE)</f>
        <v>Incentive Allowance/8% Pension allowance</v>
      </c>
      <c r="D16" s="202">
        <f>VLOOKUP($B16,' TB'!$A$6:$E$137,3,FALSE)</f>
        <v>11308.85</v>
      </c>
      <c r="E16" s="196"/>
      <c r="F16" s="196"/>
      <c r="G16" s="246"/>
      <c r="H16" s="239">
        <f t="shared" si="0"/>
        <v>45518121.25</v>
      </c>
      <c r="I16" s="220"/>
      <c r="J16" s="220"/>
    </row>
    <row r="17" spans="1:10" x14ac:dyDescent="0.25">
      <c r="A17" s="200" t="s">
        <v>116</v>
      </c>
      <c r="B17" s="206">
        <v>3007</v>
      </c>
      <c r="C17" s="201" t="str">
        <f>VLOOKUP($B17,' TB'!$A$6:$E$137,2,FALSE)</f>
        <v>Office staff gratuity/Compensation Leave</v>
      </c>
      <c r="D17" s="202">
        <f>VLOOKUP($B17,' TB'!$A$6:$E$137,3,FALSE)</f>
        <v>15442.25</v>
      </c>
      <c r="E17" s="196"/>
      <c r="F17" s="196"/>
      <c r="G17" s="246"/>
      <c r="H17" s="239">
        <f t="shared" si="0"/>
        <v>62155056.25</v>
      </c>
      <c r="I17" s="220"/>
      <c r="J17" s="220"/>
    </row>
    <row r="18" spans="1:10" x14ac:dyDescent="0.25">
      <c r="A18" s="200" t="s">
        <v>116</v>
      </c>
      <c r="B18" s="206">
        <v>3009</v>
      </c>
      <c r="C18" s="201" t="str">
        <f>VLOOKUP($B18,' TB'!$A$6:$E$137,2,FALSE)</f>
        <v>Staff Medical insurances</v>
      </c>
      <c r="D18" s="202">
        <f>VLOOKUP($B18,' TB'!$A$6:$E$137,3,FALSE)</f>
        <v>1827.2</v>
      </c>
      <c r="E18" s="196"/>
      <c r="F18" s="196"/>
      <c r="G18" s="246"/>
      <c r="H18" s="239">
        <f t="shared" si="0"/>
        <v>7354480</v>
      </c>
      <c r="I18" s="241"/>
      <c r="J18" s="220"/>
    </row>
    <row r="19" spans="1:10" x14ac:dyDescent="0.25">
      <c r="A19" s="196"/>
      <c r="B19" s="196"/>
      <c r="C19" s="251" t="s">
        <v>662</v>
      </c>
      <c r="D19" s="251"/>
      <c r="E19" s="204">
        <f>SUM(D11:D18)</f>
        <v>195236.27000000002</v>
      </c>
      <c r="F19" s="196"/>
      <c r="G19" s="246"/>
      <c r="H19" s="239"/>
      <c r="I19" s="242">
        <f>SUM(H12:H18)</f>
        <v>785825986.75</v>
      </c>
      <c r="J19" s="220"/>
    </row>
    <row r="20" spans="1:10" x14ac:dyDescent="0.25">
      <c r="A20" s="196"/>
      <c r="B20" s="254" t="s">
        <v>665</v>
      </c>
      <c r="C20" s="254"/>
      <c r="D20" s="199"/>
      <c r="E20" s="196"/>
      <c r="F20" s="196"/>
      <c r="G20" s="246"/>
      <c r="H20" s="239"/>
      <c r="I20" s="220"/>
      <c r="J20" s="220"/>
    </row>
    <row r="21" spans="1:10" x14ac:dyDescent="0.25">
      <c r="A21" s="200" t="s">
        <v>120</v>
      </c>
      <c r="B21" s="206">
        <v>4001</v>
      </c>
      <c r="C21" s="201" t="str">
        <f>VLOOKUP($B21,' TB'!$A$6:$E$137,2,FALSE)</f>
        <v>Office Rent or lease payments</v>
      </c>
      <c r="D21" s="202">
        <f>VLOOKUP($B21,' TB'!$A$6:$E$137,3,FALSE)</f>
        <v>11580</v>
      </c>
      <c r="E21" s="196"/>
      <c r="F21" s="196"/>
      <c r="G21" s="246"/>
      <c r="H21" s="239">
        <f t="shared" ref="H21:H34" si="1">D21*$J$5</f>
        <v>46609500</v>
      </c>
      <c r="I21" s="220"/>
      <c r="J21" s="220"/>
    </row>
    <row r="22" spans="1:10" x14ac:dyDescent="0.25">
      <c r="A22" s="200" t="s">
        <v>117</v>
      </c>
      <c r="B22" s="206">
        <v>4002</v>
      </c>
      <c r="C22" s="201" t="str">
        <f>VLOOKUP($B22,' TB'!$A$6:$E$137,2,FALSE)</f>
        <v>Utilities</v>
      </c>
      <c r="D22" s="202">
        <f>VLOOKUP($B22,' TB'!$A$6:$E$137,3,FALSE)</f>
        <v>293.25</v>
      </c>
      <c r="E22" s="196"/>
      <c r="F22" s="196"/>
      <c r="G22" s="246"/>
      <c r="H22" s="239">
        <f t="shared" si="1"/>
        <v>1180331.25</v>
      </c>
      <c r="I22" s="220"/>
      <c r="J22" s="220"/>
    </row>
    <row r="23" spans="1:10" x14ac:dyDescent="0.25">
      <c r="A23" s="200" t="s">
        <v>117</v>
      </c>
      <c r="B23" s="206">
        <v>4005</v>
      </c>
      <c r="C23" s="201" t="str">
        <f>VLOOKUP($B23,' TB'!$A$6:$E$137,2,FALSE)</f>
        <v>Office Electricity</v>
      </c>
      <c r="D23" s="202">
        <f>VLOOKUP($B23,' TB'!$A$6:$E$137,3,FALSE)</f>
        <v>1275.3</v>
      </c>
      <c r="E23" s="196"/>
      <c r="F23" s="196"/>
      <c r="G23" s="246"/>
      <c r="H23" s="239">
        <f t="shared" si="1"/>
        <v>5133082.5</v>
      </c>
      <c r="I23" s="220"/>
      <c r="J23" s="220"/>
    </row>
    <row r="24" spans="1:10" x14ac:dyDescent="0.25">
      <c r="A24" s="200" t="s">
        <v>134</v>
      </c>
      <c r="B24" s="206">
        <v>4006</v>
      </c>
      <c r="C24" s="201" t="str">
        <f>VLOOKUP($B24,' TB'!$A$6:$E$137,2,FALSE)</f>
        <v>Postage Expenses</v>
      </c>
      <c r="D24" s="202">
        <f>VLOOKUP($B24,' TB'!$A$6:$E$137,3,FALSE)</f>
        <v>20</v>
      </c>
      <c r="E24" s="196"/>
      <c r="F24" s="196"/>
      <c r="G24" s="246"/>
      <c r="H24" s="239">
        <f t="shared" si="1"/>
        <v>80500</v>
      </c>
      <c r="I24" s="220"/>
      <c r="J24" s="220"/>
    </row>
    <row r="25" spans="1:10" x14ac:dyDescent="0.25">
      <c r="A25" s="200" t="s">
        <v>134</v>
      </c>
      <c r="B25" s="206">
        <v>4007</v>
      </c>
      <c r="C25" s="201" t="str">
        <f>VLOOKUP($B25,' TB'!$A$6:$E$137,2,FALSE)</f>
        <v>Office Phone and Fax</v>
      </c>
      <c r="D25" s="202">
        <f>VLOOKUP($B25,' TB'!$A$6:$E$137,3,FALSE)</f>
        <v>600</v>
      </c>
      <c r="E25" s="196"/>
      <c r="F25" s="196"/>
      <c r="G25" s="246"/>
      <c r="H25" s="239">
        <f t="shared" si="1"/>
        <v>2415000</v>
      </c>
      <c r="I25" s="220"/>
      <c r="J25" s="220"/>
    </row>
    <row r="26" spans="1:10" x14ac:dyDescent="0.25">
      <c r="A26" s="200" t="s">
        <v>134</v>
      </c>
      <c r="B26" s="206">
        <v>4008</v>
      </c>
      <c r="C26" s="201" t="str">
        <f>VLOOKUP($B26,' TB'!$A$6:$E$137,2,FALSE)</f>
        <v>Bank Charge</v>
      </c>
      <c r="D26" s="202">
        <f>VLOOKUP($B26,' TB'!$A$6:$E$137,3,FALSE)</f>
        <v>604.74</v>
      </c>
      <c r="E26" s="196"/>
      <c r="F26" s="196"/>
      <c r="G26" s="246"/>
      <c r="H26" s="239">
        <f t="shared" si="1"/>
        <v>2434078.5</v>
      </c>
      <c r="I26" s="220"/>
      <c r="J26" s="220"/>
    </row>
    <row r="27" spans="1:10" x14ac:dyDescent="0.25">
      <c r="A27" s="200" t="s">
        <v>134</v>
      </c>
      <c r="B27" s="206">
        <v>4009</v>
      </c>
      <c r="C27" s="201" t="str">
        <f>VLOOKUP($B27,' TB'!$A$6:$E$137,2,FALSE)</f>
        <v>Printer ink, printing and copies</v>
      </c>
      <c r="D27" s="202">
        <f>VLOOKUP($B27,' TB'!$A$6:$E$137,3,FALSE)</f>
        <v>179.83</v>
      </c>
      <c r="E27" s="196"/>
      <c r="F27" s="196"/>
      <c r="G27" s="246"/>
      <c r="H27" s="239">
        <f t="shared" si="1"/>
        <v>723815.75</v>
      </c>
      <c r="I27" s="220"/>
      <c r="J27" s="220"/>
    </row>
    <row r="28" spans="1:10" x14ac:dyDescent="0.25">
      <c r="A28" s="200" t="s">
        <v>134</v>
      </c>
      <c r="B28" s="206">
        <v>4010</v>
      </c>
      <c r="C28" s="201" t="str">
        <f>VLOOKUP($B28,' TB'!$A$6:$E$137,2,FALSE)</f>
        <v>Stationary &amp; Printing</v>
      </c>
      <c r="D28" s="202">
        <f>VLOOKUP($B28,' TB'!$A$6:$E$137,3,FALSE)</f>
        <v>295.52999999999997</v>
      </c>
      <c r="E28" s="196"/>
      <c r="F28" s="196"/>
      <c r="G28" s="246"/>
      <c r="H28" s="239">
        <f t="shared" si="1"/>
        <v>1189508.25</v>
      </c>
      <c r="I28" s="220"/>
      <c r="J28" s="220"/>
    </row>
    <row r="29" spans="1:10" x14ac:dyDescent="0.25">
      <c r="A29" s="200" t="s">
        <v>134</v>
      </c>
      <c r="B29" s="206">
        <v>4011</v>
      </c>
      <c r="C29" s="201" t="str">
        <f>VLOOKUP($B29,' TB'!$A$6:$E$137,2,FALSE)</f>
        <v>Newspapers/Magazine</v>
      </c>
      <c r="D29" s="202">
        <f>VLOOKUP($B29,' TB'!$A$6:$E$137,3,FALSE)</f>
        <v>60</v>
      </c>
      <c r="E29" s="196"/>
      <c r="F29" s="196"/>
      <c r="G29" s="246"/>
      <c r="H29" s="239">
        <f t="shared" si="1"/>
        <v>241500</v>
      </c>
      <c r="I29" s="220"/>
      <c r="J29" s="220"/>
    </row>
    <row r="30" spans="1:10" x14ac:dyDescent="0.25">
      <c r="A30" s="200" t="s">
        <v>134</v>
      </c>
      <c r="B30" s="206">
        <v>4012</v>
      </c>
      <c r="C30" s="201" t="str">
        <f>VLOOKUP($B30,' TB'!$A$6:$E$137,2,FALSE)</f>
        <v>Meeting with IPOs and Government</v>
      </c>
      <c r="D30" s="202">
        <f>VLOOKUP($B30,' TB'!$A$6:$E$137,3,FALSE)</f>
        <v>177.8</v>
      </c>
      <c r="E30" s="196"/>
      <c r="F30" s="196"/>
      <c r="G30" s="246"/>
      <c r="H30" s="239">
        <f t="shared" si="1"/>
        <v>715645</v>
      </c>
      <c r="I30" s="220"/>
      <c r="J30" s="220"/>
    </row>
    <row r="31" spans="1:10" x14ac:dyDescent="0.25">
      <c r="A31" s="200" t="s">
        <v>134</v>
      </c>
      <c r="B31" s="206">
        <v>4013</v>
      </c>
      <c r="C31" s="201" t="str">
        <f>VLOOKUP($B31,' TB'!$A$6:$E$137,2,FALSE)</f>
        <v>Office Registration Expenses</v>
      </c>
      <c r="D31" s="202">
        <f>VLOOKUP($B31,' TB'!$A$6:$E$137,3,FALSE)</f>
        <v>529.78</v>
      </c>
      <c r="E31" s="196"/>
      <c r="F31" s="196"/>
      <c r="G31" s="246"/>
      <c r="H31" s="239">
        <f t="shared" si="1"/>
        <v>2132364.5</v>
      </c>
      <c r="I31" s="220"/>
      <c r="J31" s="220"/>
    </row>
    <row r="32" spans="1:10" x14ac:dyDescent="0.25">
      <c r="A32" s="200" t="s">
        <v>125</v>
      </c>
      <c r="B32" s="206">
        <v>4014</v>
      </c>
      <c r="C32" s="201" t="str">
        <f>VLOOKUP($B32,' TB'!$A$6:$E$137,2,FALSE)</f>
        <v>Projection budget work with MoI</v>
      </c>
      <c r="D32" s="202">
        <f>VLOOKUP($B32,' TB'!$A$6:$E$137,3,FALSE)</f>
        <v>12776.1</v>
      </c>
      <c r="E32" s="196"/>
      <c r="F32" s="196"/>
      <c r="G32" s="246"/>
      <c r="H32" s="239">
        <f t="shared" si="1"/>
        <v>51423802.5</v>
      </c>
      <c r="I32" s="220"/>
      <c r="J32" s="220"/>
    </row>
    <row r="33" spans="1:10" x14ac:dyDescent="0.25">
      <c r="A33" s="200" t="s">
        <v>124</v>
      </c>
      <c r="B33" s="206">
        <v>4015</v>
      </c>
      <c r="C33" s="201" t="str">
        <f>VLOOKUP($B33,' TB'!$A$6:$E$137,2,FALSE)</f>
        <v>Tax Expenditure</v>
      </c>
      <c r="D33" s="202">
        <f>VLOOKUP($B33,' TB'!$A$6:$E$137,3,FALSE)</f>
        <v>18503.240000000002</v>
      </c>
      <c r="E33" s="196"/>
      <c r="F33" s="196"/>
      <c r="G33" s="246"/>
      <c r="H33" s="239">
        <f t="shared" si="1"/>
        <v>74475541</v>
      </c>
      <c r="I33" s="220"/>
      <c r="J33" s="220"/>
    </row>
    <row r="34" spans="1:10" x14ac:dyDescent="0.25">
      <c r="A34" s="200" t="s">
        <v>124</v>
      </c>
      <c r="B34" s="206">
        <v>4016</v>
      </c>
      <c r="C34" s="201" t="str">
        <f>VLOOKUP($B34,' TB'!$A$6:$E$137,2,FALSE)</f>
        <v>Tax Exchange Gain/Loss</v>
      </c>
      <c r="D34" s="202">
        <f>VLOOKUP($B34,' TB'!$A$6:$E$137,3,FALSE)</f>
        <v>27.49</v>
      </c>
      <c r="E34" s="196"/>
      <c r="F34" s="196"/>
      <c r="G34" s="246"/>
      <c r="H34" s="239">
        <f t="shared" si="1"/>
        <v>110647.25</v>
      </c>
      <c r="I34" s="241"/>
      <c r="J34" s="220"/>
    </row>
    <row r="35" spans="1:10" x14ac:dyDescent="0.25">
      <c r="A35" s="196"/>
      <c r="B35" s="196"/>
      <c r="C35" s="251" t="s">
        <v>610</v>
      </c>
      <c r="D35" s="251"/>
      <c r="E35" s="204">
        <f>SUM(D21:D34)</f>
        <v>46923.060000000005</v>
      </c>
      <c r="F35" s="196"/>
      <c r="G35" s="246"/>
      <c r="H35" s="239"/>
      <c r="I35" s="242">
        <f>SUM(H21:H34)</f>
        <v>188865316.5</v>
      </c>
      <c r="J35" s="220"/>
    </row>
    <row r="36" spans="1:10" x14ac:dyDescent="0.25">
      <c r="A36" s="196"/>
      <c r="B36" s="254" t="s">
        <v>687</v>
      </c>
      <c r="C36" s="254"/>
      <c r="D36" s="199"/>
      <c r="E36" s="196"/>
      <c r="F36" s="196"/>
      <c r="G36" s="246"/>
      <c r="H36" s="239"/>
      <c r="I36" s="220"/>
      <c r="J36" s="220"/>
    </row>
    <row r="37" spans="1:10" x14ac:dyDescent="0.25">
      <c r="A37" s="200" t="s">
        <v>134</v>
      </c>
      <c r="B37" s="206">
        <v>5001</v>
      </c>
      <c r="C37" s="201" t="str">
        <f>VLOOKUP($B37,' TB'!$A$6:$E$137,2,FALSE)</f>
        <v>Office Equipment Expenses</v>
      </c>
      <c r="D37" s="202">
        <f>VLOOKUP($B37,' TB'!$A$6:$E$137,3,FALSE)</f>
        <v>395.65</v>
      </c>
      <c r="E37" s="196"/>
      <c r="F37" s="196"/>
      <c r="G37" s="246"/>
      <c r="H37" s="239">
        <f>D37*$J$5</f>
        <v>1592491.25</v>
      </c>
      <c r="I37" s="220"/>
      <c r="J37" s="220"/>
    </row>
    <row r="38" spans="1:10" x14ac:dyDescent="0.25">
      <c r="A38" s="200" t="s">
        <v>134</v>
      </c>
      <c r="B38" s="206">
        <v>5002</v>
      </c>
      <c r="C38" s="201" t="str">
        <f>VLOOKUP($B38,' TB'!$A$6:$E$137,2,FALSE)</f>
        <v>Office Maintenance/Utilities Expenses</v>
      </c>
      <c r="D38" s="202">
        <f>VLOOKUP($B38,' TB'!$A$6:$E$137,3,FALSE)</f>
        <v>156.19999999999999</v>
      </c>
      <c r="E38" s="196"/>
      <c r="F38" s="196"/>
      <c r="G38" s="246"/>
      <c r="H38" s="239">
        <f>D38*$J$5</f>
        <v>628705</v>
      </c>
      <c r="I38" s="220"/>
      <c r="J38" s="220"/>
    </row>
    <row r="39" spans="1:10" x14ac:dyDescent="0.25">
      <c r="A39" s="200" t="s">
        <v>134</v>
      </c>
      <c r="B39" s="206">
        <v>5003</v>
      </c>
      <c r="C39" s="201" t="str">
        <f>VLOOKUP($B39,' TB'!$A$6:$E$137,2,FALSE)</f>
        <v>IT  Accessories Expenses</v>
      </c>
      <c r="D39" s="202">
        <f>VLOOKUP($B39,' TB'!$A$6:$E$137,3,FALSE)</f>
        <v>264</v>
      </c>
      <c r="E39" s="196"/>
      <c r="F39" s="196"/>
      <c r="G39" s="246"/>
      <c r="H39" s="239">
        <f>D39*$J$5</f>
        <v>1062600</v>
      </c>
      <c r="I39" s="220"/>
      <c r="J39" s="220"/>
    </row>
    <row r="40" spans="1:10" x14ac:dyDescent="0.25">
      <c r="A40" s="200" t="s">
        <v>134</v>
      </c>
      <c r="B40" s="206">
        <v>5005</v>
      </c>
      <c r="C40" s="201" t="str">
        <f>VLOOKUP($B40,' TB'!$A$6:$E$137,2,FALSE)</f>
        <v>Internet Expenses</v>
      </c>
      <c r="D40" s="202">
        <f>VLOOKUP($B40,' TB'!$A$6:$E$137,3,FALSE)</f>
        <v>517.22</v>
      </c>
      <c r="E40" s="196"/>
      <c r="F40" s="196"/>
      <c r="G40" s="246"/>
      <c r="H40" s="239">
        <f>D40*$J$5</f>
        <v>2081810.5</v>
      </c>
      <c r="I40" s="220"/>
      <c r="J40" s="220"/>
    </row>
    <row r="41" spans="1:10" x14ac:dyDescent="0.25">
      <c r="A41" s="200" t="s">
        <v>134</v>
      </c>
      <c r="B41" s="206">
        <v>5099</v>
      </c>
      <c r="C41" s="201" t="str">
        <f>VLOOKUP($B41,' TB'!$A$6:$E$137,2,FALSE)</f>
        <v>Miscellanoeus Office Expenses</v>
      </c>
      <c r="D41" s="202">
        <f>VLOOKUP($B41,' TB'!$A$6:$E$137,3,FALSE)</f>
        <v>74.37</v>
      </c>
      <c r="E41" s="196"/>
      <c r="F41" s="196"/>
      <c r="G41" s="246"/>
      <c r="H41" s="239">
        <f>D41*$J$5</f>
        <v>299339.25</v>
      </c>
      <c r="I41" s="241"/>
      <c r="J41" s="220"/>
    </row>
    <row r="42" spans="1:10" x14ac:dyDescent="0.25">
      <c r="A42" s="196"/>
      <c r="B42" s="196"/>
      <c r="C42" s="251" t="s">
        <v>611</v>
      </c>
      <c r="D42" s="251"/>
      <c r="E42" s="204">
        <f>SUM(D37:D41)</f>
        <v>1407.44</v>
      </c>
      <c r="F42" s="196"/>
      <c r="G42" s="246"/>
      <c r="H42" s="239"/>
      <c r="I42" s="242">
        <f>SUM(H37:H41)</f>
        <v>5664946</v>
      </c>
      <c r="J42" s="220"/>
    </row>
    <row r="43" spans="1:10" x14ac:dyDescent="0.25">
      <c r="A43" s="196"/>
      <c r="B43" s="254" t="s">
        <v>692</v>
      </c>
      <c r="C43" s="254"/>
      <c r="D43" s="199"/>
      <c r="E43" s="196"/>
      <c r="F43" s="196"/>
      <c r="G43" s="246"/>
      <c r="H43" s="239"/>
      <c r="I43" s="220"/>
      <c r="J43" s="220"/>
    </row>
    <row r="44" spans="1:10" x14ac:dyDescent="0.25">
      <c r="A44" s="200" t="s">
        <v>126</v>
      </c>
      <c r="B44" s="206">
        <v>5202</v>
      </c>
      <c r="C44" s="201" t="str">
        <f>VLOOKUP($B44,' TB'!$A$6:$E$137,2,FALSE)</f>
        <v>Other Consultant fee</v>
      </c>
      <c r="D44" s="202">
        <f>VLOOKUP($B44,' TB'!$A$6:$E$137,3,FALSE)</f>
        <v>4800</v>
      </c>
      <c r="E44" s="196"/>
      <c r="F44" s="196"/>
      <c r="G44" s="246"/>
      <c r="H44" s="239">
        <f>D44*$J$5</f>
        <v>19320000</v>
      </c>
      <c r="I44" s="220"/>
      <c r="J44" s="220"/>
    </row>
    <row r="45" spans="1:10" x14ac:dyDescent="0.25">
      <c r="A45" s="200" t="s">
        <v>126</v>
      </c>
      <c r="B45" s="206">
        <v>5203</v>
      </c>
      <c r="C45" s="201" t="str">
        <f>VLOOKUP($B45,' TB'!$A$6:$E$137,2,FALSE)</f>
        <v>Professional fee Audit cost</v>
      </c>
      <c r="D45" s="202">
        <f>VLOOKUP($B45,' TB'!$A$6:$E$137,3,FALSE)</f>
        <v>2497</v>
      </c>
      <c r="E45" s="196"/>
      <c r="F45" s="196"/>
      <c r="G45" s="246"/>
      <c r="H45" s="239">
        <f>D45*$J$5</f>
        <v>10050425</v>
      </c>
      <c r="I45" s="220"/>
      <c r="J45" s="220"/>
    </row>
    <row r="46" spans="1:10" x14ac:dyDescent="0.25">
      <c r="A46" s="200" t="s">
        <v>134</v>
      </c>
      <c r="B46" s="206">
        <v>5205</v>
      </c>
      <c r="C46" s="201" t="str">
        <f>VLOOKUP($B46,' TB'!$A$6:$E$137,2,FALSE)</f>
        <v>Membership Local networking /registration</v>
      </c>
      <c r="D46" s="202">
        <f>VLOOKUP($B46,' TB'!$A$6:$E$137,3,FALSE)</f>
        <v>539.54999999999995</v>
      </c>
      <c r="E46" s="196"/>
      <c r="F46" s="196"/>
      <c r="G46" s="246"/>
      <c r="H46" s="239">
        <f>D46*$J$5</f>
        <v>2171688.75</v>
      </c>
      <c r="I46" s="241"/>
      <c r="J46" s="220"/>
    </row>
    <row r="47" spans="1:10" x14ac:dyDescent="0.25">
      <c r="A47" s="196"/>
      <c r="B47" s="196"/>
      <c r="C47" s="251" t="s">
        <v>612</v>
      </c>
      <c r="D47" s="251"/>
      <c r="E47" s="204">
        <f>SUM(D44:D46)</f>
        <v>7836.55</v>
      </c>
      <c r="F47" s="196"/>
      <c r="G47" s="246"/>
      <c r="H47" s="239"/>
      <c r="I47" s="242">
        <f>SUM(H44:H46)</f>
        <v>31542113.75</v>
      </c>
      <c r="J47" s="220"/>
    </row>
    <row r="48" spans="1:10" x14ac:dyDescent="0.25">
      <c r="A48" s="196"/>
      <c r="B48" s="254" t="s">
        <v>694</v>
      </c>
      <c r="C48" s="254"/>
      <c r="D48" s="199"/>
      <c r="E48" s="196"/>
      <c r="F48" s="196"/>
      <c r="G48" s="246"/>
      <c r="H48" s="239"/>
      <c r="I48" s="220"/>
      <c r="J48" s="220"/>
    </row>
    <row r="49" spans="1:10" x14ac:dyDescent="0.25">
      <c r="A49" s="200" t="s">
        <v>118</v>
      </c>
      <c r="B49" s="206">
        <v>6001</v>
      </c>
      <c r="C49" s="201" t="str">
        <f>VLOOKUP($B49,' TB'!$A$6:$E$137,2,FALSE)</f>
        <v>Meals and Accommodations expenses</v>
      </c>
      <c r="D49" s="202">
        <f>VLOOKUP($B49,' TB'!$A$6:$E$137,3,FALSE)</f>
        <v>3295.8</v>
      </c>
      <c r="E49" s="196"/>
      <c r="F49" s="196"/>
      <c r="G49" s="246"/>
      <c r="H49" s="239">
        <f>D49*$J$5</f>
        <v>13265595</v>
      </c>
      <c r="I49" s="220"/>
      <c r="J49" s="220"/>
    </row>
    <row r="50" spans="1:10" x14ac:dyDescent="0.25">
      <c r="A50" s="200" t="s">
        <v>118</v>
      </c>
      <c r="B50" s="206">
        <v>6003</v>
      </c>
      <c r="C50" s="201" t="str">
        <f>VLOOKUP($B50,' TB'!$A$6:$E$137,2,FALSE)</f>
        <v>Vehicle Running Costs Expenses</v>
      </c>
      <c r="D50" s="202">
        <f>VLOOKUP($B50,' TB'!$A$6:$E$137,3,FALSE)</f>
        <v>43.73</v>
      </c>
      <c r="E50" s="196"/>
      <c r="F50" s="196"/>
      <c r="G50" s="246"/>
      <c r="H50" s="239">
        <f>D50*$J$5</f>
        <v>176013.25</v>
      </c>
      <c r="I50" s="220"/>
      <c r="J50" s="220"/>
    </row>
    <row r="51" spans="1:10" x14ac:dyDescent="0.25">
      <c r="A51" s="200" t="s">
        <v>118</v>
      </c>
      <c r="B51" s="206">
        <v>6005</v>
      </c>
      <c r="C51" s="201" t="str">
        <f>VLOOKUP($B51,' TB'!$A$6:$E$137,2,FALSE)</f>
        <v>Travel expenses - Air Ticket</v>
      </c>
      <c r="D51" s="202">
        <f>VLOOKUP($B51,' TB'!$A$6:$E$137,3,FALSE)</f>
        <v>1538.5</v>
      </c>
      <c r="E51" s="196"/>
      <c r="F51" s="196"/>
      <c r="G51" s="246"/>
      <c r="H51" s="239">
        <f>D51*$J$5</f>
        <v>6192462.5</v>
      </c>
      <c r="I51" s="220"/>
      <c r="J51" s="220"/>
    </row>
    <row r="52" spans="1:10" x14ac:dyDescent="0.25">
      <c r="A52" s="200" t="s">
        <v>118</v>
      </c>
      <c r="B52" s="206">
        <v>6006</v>
      </c>
      <c r="C52" s="201" t="str">
        <f>VLOOKUP($B52,' TB'!$A$6:$E$137,2,FALSE)</f>
        <v>Travel expenses - Visa fees</v>
      </c>
      <c r="D52" s="202">
        <f>VLOOKUP($B52,' TB'!$A$6:$E$137,3,FALSE)</f>
        <v>1749.18</v>
      </c>
      <c r="E52" s="196"/>
      <c r="F52" s="196"/>
      <c r="G52" s="246"/>
      <c r="H52" s="239">
        <f>D52*$J$5</f>
        <v>7040449.5</v>
      </c>
      <c r="I52" s="220"/>
      <c r="J52" s="220"/>
    </row>
    <row r="53" spans="1:10" x14ac:dyDescent="0.25">
      <c r="A53" s="200" t="s">
        <v>118</v>
      </c>
      <c r="B53" s="206">
        <v>6007</v>
      </c>
      <c r="C53" s="201" t="str">
        <f>VLOOKUP($B53,' TB'!$A$6:$E$137,2,FALSE)</f>
        <v>Air Ticket for routine partner visit</v>
      </c>
      <c r="D53" s="202">
        <f>VLOOKUP($B53,' TB'!$A$6:$E$137,3,FALSE)</f>
        <v>593.08000000000004</v>
      </c>
      <c r="E53" s="196"/>
      <c r="F53" s="196"/>
      <c r="G53" s="246"/>
      <c r="H53" s="239">
        <f>D53*$J$5</f>
        <v>2387147</v>
      </c>
      <c r="I53" s="241"/>
      <c r="J53" s="220"/>
    </row>
    <row r="54" spans="1:10" x14ac:dyDescent="0.25">
      <c r="A54" s="196"/>
      <c r="B54" s="196"/>
      <c r="C54" s="251" t="s">
        <v>613</v>
      </c>
      <c r="D54" s="251"/>
      <c r="E54" s="204">
        <f>SUM(D49:D53)</f>
        <v>7220.2900000000009</v>
      </c>
      <c r="F54" s="196"/>
      <c r="G54" s="246"/>
      <c r="H54" s="239"/>
      <c r="I54" s="242">
        <f>SUM(H49:H53)</f>
        <v>29061667.25</v>
      </c>
      <c r="J54" s="220"/>
    </row>
    <row r="55" spans="1:10" x14ac:dyDescent="0.25">
      <c r="A55" s="196"/>
      <c r="B55" s="254" t="s">
        <v>700</v>
      </c>
      <c r="C55" s="254"/>
      <c r="D55" s="199"/>
      <c r="E55" s="196"/>
      <c r="F55" s="196"/>
      <c r="G55" s="246"/>
      <c r="H55" s="239"/>
      <c r="I55" s="239"/>
      <c r="J55" s="220"/>
    </row>
    <row r="56" spans="1:10" x14ac:dyDescent="0.25">
      <c r="A56" s="200" t="s">
        <v>126</v>
      </c>
      <c r="B56" s="206">
        <v>6201</v>
      </c>
      <c r="C56" s="201" t="str">
        <f>VLOOKUP($B56,' TB'!$A$6:$E$137,2,FALSE)</f>
        <v>Annual Partner Meeting in Cambodia</v>
      </c>
      <c r="D56" s="202">
        <f>VLOOKUP($B56,' TB'!$A$6:$E$137,3,FALSE)</f>
        <v>2887.44</v>
      </c>
      <c r="E56" s="196"/>
      <c r="F56" s="196"/>
      <c r="G56" s="246"/>
      <c r="H56" s="239">
        <f>D56*$J$5</f>
        <v>11621946</v>
      </c>
      <c r="I56" s="239"/>
      <c r="J56" s="220"/>
    </row>
    <row r="57" spans="1:10" x14ac:dyDescent="0.25">
      <c r="A57" s="200" t="s">
        <v>125</v>
      </c>
      <c r="B57" s="206">
        <v>6205</v>
      </c>
      <c r="C57" s="201" t="str">
        <f>VLOOKUP($B57,' TB'!$A$6:$E$137,2,FALSE)</f>
        <v>CRC for CRSA</v>
      </c>
      <c r="D57" s="202">
        <f>VLOOKUP($B57,' TB'!$A$6:$E$137,3,FALSE)</f>
        <v>2000</v>
      </c>
      <c r="E57" s="196"/>
      <c r="F57" s="196"/>
      <c r="G57" s="246"/>
      <c r="H57" s="239">
        <f>D57*$J$5</f>
        <v>8050000</v>
      </c>
      <c r="I57" s="239"/>
      <c r="J57" s="220"/>
    </row>
    <row r="58" spans="1:10" x14ac:dyDescent="0.25">
      <c r="A58" s="200" t="s">
        <v>126</v>
      </c>
      <c r="B58" s="206">
        <v>6207</v>
      </c>
      <c r="C58" s="201" t="str">
        <f>VLOOKUP($B58,' TB'!$A$6:$E$137,2,FALSE)</f>
        <v>Women Forum</v>
      </c>
      <c r="D58" s="202">
        <f>VLOOKUP($B58,' TB'!$A$6:$E$137,3,FALSE)</f>
        <v>100.85</v>
      </c>
      <c r="E58" s="196"/>
      <c r="F58" s="196"/>
      <c r="G58" s="246"/>
      <c r="H58" s="239">
        <f>D58*$J$5</f>
        <v>405921.25</v>
      </c>
      <c r="I58" s="240"/>
      <c r="J58" s="220"/>
    </row>
    <row r="59" spans="1:10" x14ac:dyDescent="0.25">
      <c r="A59" s="196"/>
      <c r="B59" s="196"/>
      <c r="C59" s="251" t="s">
        <v>614</v>
      </c>
      <c r="D59" s="251"/>
      <c r="E59" s="204">
        <f>SUM(D56:D58)</f>
        <v>4988.2900000000009</v>
      </c>
      <c r="F59" s="196"/>
      <c r="G59" s="246"/>
      <c r="H59" s="239"/>
      <c r="I59" s="242">
        <f>SUM(H56:H58)</f>
        <v>20077867.25</v>
      </c>
      <c r="J59" s="220"/>
    </row>
    <row r="60" spans="1:10" x14ac:dyDescent="0.25">
      <c r="A60" s="196"/>
      <c r="B60" s="254" t="s">
        <v>701</v>
      </c>
      <c r="C60" s="254"/>
      <c r="D60" s="199"/>
      <c r="E60" s="196"/>
      <c r="F60" s="196"/>
      <c r="G60" s="246"/>
      <c r="H60" s="239"/>
      <c r="I60" s="239"/>
      <c r="J60" s="220"/>
    </row>
    <row r="61" spans="1:10" x14ac:dyDescent="0.25">
      <c r="A61" s="200" t="s">
        <v>134</v>
      </c>
      <c r="B61" s="206">
        <v>6106</v>
      </c>
      <c r="C61" s="201" t="str">
        <f>VLOOKUP($B61,' TB'!$A$6:$E$137,2,FALSE)</f>
        <v>SEAT Learning &amp; Team Development</v>
      </c>
      <c r="D61" s="202">
        <f>VLOOKUP($B61,' TB'!$A$6:$E$137,3,FALSE)</f>
        <v>2690.87</v>
      </c>
      <c r="E61" s="196"/>
      <c r="F61" s="196"/>
      <c r="G61" s="246"/>
      <c r="H61" s="239">
        <f>D61*$J$5</f>
        <v>10830751.75</v>
      </c>
      <c r="I61" s="240"/>
      <c r="J61" s="220"/>
    </row>
    <row r="62" spans="1:10" x14ac:dyDescent="0.25">
      <c r="A62" s="196"/>
      <c r="B62" s="196"/>
      <c r="C62" s="251" t="s">
        <v>615</v>
      </c>
      <c r="D62" s="251"/>
      <c r="E62" s="204">
        <f>SUM(D61)</f>
        <v>2690.87</v>
      </c>
      <c r="F62" s="196"/>
      <c r="G62" s="246"/>
      <c r="H62" s="239"/>
      <c r="I62" s="242">
        <f>SUM(H61)</f>
        <v>10830751.75</v>
      </c>
      <c r="J62" s="220"/>
    </row>
    <row r="63" spans="1:10" x14ac:dyDescent="0.25">
      <c r="A63" s="196"/>
      <c r="B63" s="196"/>
      <c r="C63" s="252" t="s">
        <v>581</v>
      </c>
      <c r="D63" s="252"/>
      <c r="E63" s="252"/>
      <c r="F63" s="208">
        <f>E19+E35+E42+E47+E54+E59+E62</f>
        <v>266302.77</v>
      </c>
      <c r="G63" s="245"/>
      <c r="H63" s="239"/>
      <c r="I63" s="244">
        <f>I19+I35+I42+I47+I54+I59+I62</f>
        <v>1071868649.25</v>
      </c>
      <c r="J63" s="220"/>
    </row>
    <row r="64" spans="1:10" ht="9.75" customHeight="1" x14ac:dyDescent="0.25">
      <c r="A64" s="196"/>
      <c r="B64" s="196"/>
      <c r="C64" s="209"/>
      <c r="D64" s="209"/>
      <c r="E64" s="196"/>
      <c r="F64" s="204"/>
      <c r="G64" s="245"/>
      <c r="H64" s="239"/>
      <c r="I64" s="220"/>
      <c r="J64" s="220"/>
    </row>
    <row r="65" spans="1:10" ht="15.75" thickBot="1" x14ac:dyDescent="0.3">
      <c r="A65" s="196"/>
      <c r="B65" s="196"/>
      <c r="C65" s="255" t="s">
        <v>582</v>
      </c>
      <c r="D65" s="255"/>
      <c r="E65" s="255"/>
      <c r="F65" s="205">
        <f>((((D8)+(0))-(0))-(F63))-(0)</f>
        <v>-20902.090000000026</v>
      </c>
      <c r="G65" s="245"/>
      <c r="H65" s="239"/>
      <c r="I65" s="220"/>
      <c r="J65" s="243">
        <f>J8-I63</f>
        <v>-84130912.25</v>
      </c>
    </row>
    <row r="66" spans="1:10" ht="15.75" thickTop="1" x14ac:dyDescent="0.25"/>
  </sheetData>
  <mergeCells count="23">
    <mergeCell ref="B48:C48"/>
    <mergeCell ref="B55:C55"/>
    <mergeCell ref="C65:E65"/>
    <mergeCell ref="C59:D59"/>
    <mergeCell ref="C62:D62"/>
    <mergeCell ref="C63:E63"/>
    <mergeCell ref="B60:C60"/>
    <mergeCell ref="A2:K2"/>
    <mergeCell ref="A1:K1"/>
    <mergeCell ref="A3:K3"/>
    <mergeCell ref="C54:D54"/>
    <mergeCell ref="C47:D47"/>
    <mergeCell ref="C42:D42"/>
    <mergeCell ref="C35:D35"/>
    <mergeCell ref="C19:D19"/>
    <mergeCell ref="C9:E9"/>
    <mergeCell ref="H4:J4"/>
    <mergeCell ref="B11:C11"/>
    <mergeCell ref="B20:C20"/>
    <mergeCell ref="A5:C5"/>
    <mergeCell ref="A10:C10"/>
    <mergeCell ref="B36:C36"/>
    <mergeCell ref="B43:C43"/>
  </mergeCells>
  <phoneticPr fontId="10" type="noConversion"/>
  <pageMargins left="0.7" right="0.2" top="0.75" bottom="0.75" header="0.3" footer="0.3"/>
  <pageSetup paperSize="9" orientation="landscape"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1E110B-6E2D-4649-8558-F5068FD679F4}">
  <dimension ref="A1:J31"/>
  <sheetViews>
    <sheetView workbookViewId="0">
      <selection activeCell="H5" sqref="H5:J5"/>
    </sheetView>
  </sheetViews>
  <sheetFormatPr defaultColWidth="8.85546875" defaultRowHeight="15" x14ac:dyDescent="0.25"/>
  <cols>
    <col min="1" max="1" width="5.5703125" style="196" customWidth="1"/>
    <col min="2" max="2" width="6.28515625" style="196" customWidth="1"/>
    <col min="3" max="3" width="35.28515625" style="196" customWidth="1"/>
    <col min="4" max="4" width="11.85546875" style="217" customWidth="1"/>
    <col min="5" max="5" width="11.42578125" style="217" customWidth="1"/>
    <col min="6" max="6" width="11.5703125" style="196" customWidth="1"/>
    <col min="7" max="7" width="2.42578125" style="196" customWidth="1"/>
    <col min="8" max="8" width="14.5703125" style="196" customWidth="1"/>
    <col min="9" max="9" width="14.28515625" style="218" customWidth="1"/>
    <col min="10" max="10" width="13.85546875" style="218" customWidth="1"/>
    <col min="11" max="16384" width="8.85546875" style="196"/>
  </cols>
  <sheetData>
    <row r="1" spans="1:10" ht="18" x14ac:dyDescent="0.25">
      <c r="A1" s="256" t="s">
        <v>711</v>
      </c>
      <c r="B1" s="256"/>
      <c r="C1" s="256"/>
      <c r="D1" s="256"/>
      <c r="E1" s="256"/>
      <c r="F1" s="256"/>
      <c r="G1" s="256"/>
      <c r="H1" s="256"/>
      <c r="I1" s="256"/>
      <c r="J1" s="256"/>
    </row>
    <row r="2" spans="1:10" ht="18" x14ac:dyDescent="0.25">
      <c r="A2" s="256" t="s">
        <v>462</v>
      </c>
      <c r="B2" s="256"/>
      <c r="C2" s="256"/>
      <c r="D2" s="256"/>
      <c r="E2" s="256"/>
      <c r="F2" s="256"/>
      <c r="G2" s="256"/>
      <c r="H2" s="256"/>
      <c r="I2" s="256"/>
      <c r="J2" s="256"/>
    </row>
    <row r="3" spans="1:10" x14ac:dyDescent="0.25">
      <c r="A3" s="257" t="s">
        <v>648</v>
      </c>
      <c r="B3" s="257"/>
      <c r="C3" s="257"/>
      <c r="D3" s="257"/>
      <c r="E3" s="257"/>
      <c r="F3" s="257"/>
      <c r="G3" s="257"/>
      <c r="H3" s="257"/>
      <c r="I3" s="257"/>
      <c r="J3" s="257"/>
    </row>
    <row r="4" spans="1:10" x14ac:dyDescent="0.25">
      <c r="G4" s="246"/>
    </row>
    <row r="5" spans="1:10" x14ac:dyDescent="0.25">
      <c r="C5" s="197"/>
      <c r="D5" s="210" t="s">
        <v>291</v>
      </c>
      <c r="E5" s="211"/>
      <c r="G5" s="246"/>
      <c r="H5" s="253" t="s">
        <v>710</v>
      </c>
      <c r="I5" s="253"/>
      <c r="J5" s="253"/>
    </row>
    <row r="6" spans="1:10" x14ac:dyDescent="0.25">
      <c r="A6" s="251" t="s">
        <v>463</v>
      </c>
      <c r="B6" s="251"/>
      <c r="C6" s="212"/>
      <c r="D6" s="213"/>
      <c r="E6" s="213"/>
      <c r="G6" s="246"/>
      <c r="H6" s="225" t="s">
        <v>713</v>
      </c>
      <c r="I6" s="226">
        <v>4025</v>
      </c>
      <c r="J6" s="221"/>
    </row>
    <row r="7" spans="1:10" x14ac:dyDescent="0.25">
      <c r="B7" s="260" t="s">
        <v>464</v>
      </c>
      <c r="C7" s="260"/>
      <c r="D7" s="213"/>
      <c r="E7" s="213"/>
      <c r="G7" s="246"/>
      <c r="H7" s="220"/>
      <c r="I7" s="221"/>
      <c r="J7" s="221"/>
    </row>
    <row r="8" spans="1:10" x14ac:dyDescent="0.25">
      <c r="A8" s="206" t="s">
        <v>63</v>
      </c>
      <c r="B8" s="214">
        <v>1000</v>
      </c>
      <c r="C8" s="203" t="str">
        <f>VLOOKUP($B8,' TB'!$A$6:$E$137,2,FALSE)</f>
        <v>Cash In Bank</v>
      </c>
      <c r="D8" s="215">
        <f>VLOOKUP($B8,' TB'!$A$6:$E$137,3,FALSE)</f>
        <v>16970.169999999998</v>
      </c>
      <c r="E8" s="215"/>
      <c r="G8" s="246"/>
      <c r="H8" s="221">
        <f>D8*$I$6</f>
        <v>68304934.25</v>
      </c>
      <c r="I8" s="221"/>
      <c r="J8" s="221"/>
    </row>
    <row r="9" spans="1:10" x14ac:dyDescent="0.25">
      <c r="A9" s="206" t="s">
        <v>61</v>
      </c>
      <c r="B9" s="214">
        <v>1006</v>
      </c>
      <c r="C9" s="203" t="str">
        <f>VLOOKUP($B9,' TB'!$A$6:$E$137,2,FALSE)</f>
        <v>Office Rental Deposit</v>
      </c>
      <c r="D9" s="215">
        <f>VLOOKUP($B9,' TB'!$A$6:$E$137,3,FALSE)</f>
        <v>2700</v>
      </c>
      <c r="E9" s="215"/>
      <c r="G9" s="246"/>
      <c r="H9" s="221">
        <f>D9*$I$6</f>
        <v>10867500</v>
      </c>
      <c r="I9" s="221"/>
      <c r="J9" s="221"/>
    </row>
    <row r="10" spans="1:10" x14ac:dyDescent="0.25">
      <c r="A10" s="206" t="s">
        <v>63</v>
      </c>
      <c r="B10" s="214">
        <v>1004</v>
      </c>
      <c r="C10" s="203" t="str">
        <f>VLOOKUP($B10,' TB'!$A$6:$E$137,2,FALSE)</f>
        <v>Accrual Payment</v>
      </c>
      <c r="D10" s="215">
        <f>VLOOKUP($B10,' TB'!$A$6:$E$137,3,FALSE)</f>
        <v>0</v>
      </c>
      <c r="E10" s="215"/>
      <c r="G10" s="246"/>
      <c r="H10" s="221">
        <f>D10*$I$6</f>
        <v>0</v>
      </c>
      <c r="I10" s="221"/>
      <c r="J10" s="221"/>
    </row>
    <row r="11" spans="1:10" x14ac:dyDescent="0.25">
      <c r="A11" s="206" t="s">
        <v>62</v>
      </c>
      <c r="B11" s="214">
        <v>1005</v>
      </c>
      <c r="C11" s="203" t="str">
        <f>VLOOKUP($B11,' TB'!$A$6:$E$137,2,FALSE)</f>
        <v>Program Advance</v>
      </c>
      <c r="D11" s="215">
        <f>VLOOKUP($B11,' TB'!$A$6:$E$137,3,FALSE)</f>
        <v>93.09</v>
      </c>
      <c r="E11" s="216"/>
      <c r="G11" s="246"/>
      <c r="H11" s="221">
        <f>D11*$I$6</f>
        <v>374687.25</v>
      </c>
      <c r="I11" s="222"/>
      <c r="J11" s="221"/>
    </row>
    <row r="12" spans="1:10" x14ac:dyDescent="0.25">
      <c r="B12" s="254" t="s">
        <v>465</v>
      </c>
      <c r="C12" s="254"/>
      <c r="E12" s="204">
        <f>SUM(D8:D11)</f>
        <v>19763.259999999998</v>
      </c>
      <c r="G12" s="246"/>
      <c r="H12" s="221"/>
      <c r="I12" s="221">
        <f>E12*$I$6</f>
        <v>79547121.5</v>
      </c>
      <c r="J12" s="221"/>
    </row>
    <row r="13" spans="1:10" ht="15" customHeight="1" thickBot="1" x14ac:dyDescent="0.3">
      <c r="A13" s="251" t="s">
        <v>466</v>
      </c>
      <c r="B13" s="251"/>
      <c r="C13" s="251"/>
      <c r="F13" s="219">
        <f>E12</f>
        <v>19763.259999999998</v>
      </c>
      <c r="G13" s="245"/>
      <c r="H13" s="221"/>
      <c r="I13" s="221"/>
      <c r="J13" s="223">
        <f>I12</f>
        <v>79547121.5</v>
      </c>
    </row>
    <row r="14" spans="1:10" ht="15.75" thickTop="1" x14ac:dyDescent="0.25">
      <c r="B14" s="260" t="s">
        <v>467</v>
      </c>
      <c r="C14" s="260"/>
      <c r="D14" s="213"/>
      <c r="E14" s="213"/>
      <c r="G14" s="246"/>
      <c r="H14" s="221"/>
      <c r="I14" s="221"/>
      <c r="J14" s="221"/>
    </row>
    <row r="15" spans="1:10" x14ac:dyDescent="0.25">
      <c r="C15" s="203" t="s">
        <v>468</v>
      </c>
      <c r="D15" s="213"/>
      <c r="E15" s="213"/>
      <c r="G15" s="246"/>
      <c r="H15" s="221"/>
      <c r="I15" s="221"/>
      <c r="J15" s="221"/>
    </row>
    <row r="16" spans="1:10" x14ac:dyDescent="0.25">
      <c r="A16" s="196" t="s">
        <v>87</v>
      </c>
      <c r="B16" s="214">
        <v>1760</v>
      </c>
      <c r="C16" s="203" t="str">
        <f>VLOOKUP($B16,' TB'!$A$6:$E$137,2,FALSE)</f>
        <v>Pension Payable</v>
      </c>
      <c r="D16" s="215">
        <f>VLOOKUP($B16,' TB'!$A$6:$E$137,4,FALSE)</f>
        <v>47.51</v>
      </c>
      <c r="E16" s="215"/>
      <c r="G16" s="246"/>
      <c r="H16" s="221">
        <f>(D16*$I$6)+1</f>
        <v>191228.75</v>
      </c>
      <c r="I16" s="221"/>
      <c r="J16" s="221"/>
    </row>
    <row r="17" spans="1:10" x14ac:dyDescent="0.25">
      <c r="A17" s="196" t="s">
        <v>87</v>
      </c>
      <c r="B17" s="214">
        <v>1770</v>
      </c>
      <c r="C17" s="203" t="str">
        <f>VLOOKUP($B17,' TB'!$A$6:$E$137,2,FALSE)</f>
        <v>Reimbursement to owing Staff</v>
      </c>
      <c r="D17" s="215">
        <f>VLOOKUP($B17,' TB'!$A$6:$E$137,4,FALSE)</f>
        <v>171.02</v>
      </c>
      <c r="E17" s="215"/>
      <c r="G17" s="246"/>
      <c r="H17" s="221">
        <f>D17*$I$6</f>
        <v>688355.5</v>
      </c>
      <c r="I17" s="221"/>
      <c r="J17" s="221"/>
    </row>
    <row r="18" spans="1:10" x14ac:dyDescent="0.25">
      <c r="A18" s="196" t="s">
        <v>87</v>
      </c>
      <c r="B18" s="214">
        <v>1780</v>
      </c>
      <c r="C18" s="203" t="str">
        <f>VLOOKUP($B18,' TB'!$A$6:$E$137,2,FALSE)</f>
        <v>Payable to Auditor</v>
      </c>
      <c r="D18" s="215">
        <f>VLOOKUP($B18,' TB'!$A$6:$E$137,4,FALSE)</f>
        <v>2497</v>
      </c>
      <c r="E18" s="215"/>
      <c r="G18" s="246"/>
      <c r="H18" s="221">
        <f>D18*$I$6</f>
        <v>10050425</v>
      </c>
      <c r="I18" s="221"/>
      <c r="J18" s="221"/>
    </row>
    <row r="19" spans="1:10" x14ac:dyDescent="0.25">
      <c r="A19" s="196" t="s">
        <v>617</v>
      </c>
      <c r="B19" s="214">
        <v>1700</v>
      </c>
      <c r="C19" s="203" t="str">
        <f>VLOOKUP($B19,' TB'!$A$6:$E$137,2,FALSE)</f>
        <v>Salary Tax Payable</v>
      </c>
      <c r="D19" s="215">
        <f>VLOOKUP($B19,' TB'!$A$6:$E$137,4,FALSE)</f>
        <v>2211.37</v>
      </c>
      <c r="E19" s="215"/>
      <c r="G19" s="246"/>
      <c r="H19" s="221">
        <f>D19*$I$6</f>
        <v>8900764.25</v>
      </c>
      <c r="I19" s="221"/>
      <c r="J19" s="221"/>
    </row>
    <row r="20" spans="1:10" ht="16.5" customHeight="1" x14ac:dyDescent="0.25">
      <c r="A20" s="196" t="s">
        <v>87</v>
      </c>
      <c r="B20" s="214">
        <v>1750</v>
      </c>
      <c r="C20" s="203" t="str">
        <f>VLOOKUP($B20,' TB'!$A$6:$E$137,2,FALSE)</f>
        <v>Current WHT Liability</v>
      </c>
      <c r="D20" s="215">
        <f>VLOOKUP($B20,' TB'!$A$6:$E$137,4,FALSE)</f>
        <v>0</v>
      </c>
      <c r="E20" s="215"/>
      <c r="G20" s="246"/>
      <c r="H20" s="221">
        <f>D20*$I$6</f>
        <v>0</v>
      </c>
      <c r="I20" s="222"/>
      <c r="J20" s="221"/>
    </row>
    <row r="21" spans="1:10" x14ac:dyDescent="0.25">
      <c r="A21" s="206"/>
      <c r="B21" s="206"/>
      <c r="C21" s="207" t="s">
        <v>469</v>
      </c>
      <c r="E21" s="204">
        <f>SUM(D16:D20)</f>
        <v>4926.8999999999996</v>
      </c>
      <c r="G21" s="246"/>
      <c r="H21" s="220"/>
      <c r="I21" s="221">
        <f>SUM(H16:H20)</f>
        <v>19830773.5</v>
      </c>
      <c r="J21" s="221"/>
    </row>
    <row r="22" spans="1:10" ht="15" customHeight="1" x14ac:dyDescent="0.25">
      <c r="B22" s="260" t="s">
        <v>470</v>
      </c>
      <c r="C22" s="260"/>
      <c r="D22" s="213"/>
      <c r="E22" s="213"/>
      <c r="G22" s="246"/>
      <c r="H22" s="221"/>
      <c r="I22" s="221"/>
      <c r="J22" s="221"/>
    </row>
    <row r="23" spans="1:10" x14ac:dyDescent="0.25">
      <c r="A23" s="206" t="s">
        <v>77</v>
      </c>
      <c r="B23" s="206"/>
      <c r="C23" s="203" t="s">
        <v>471</v>
      </c>
      <c r="D23" s="213">
        <f>'P&amp;L'!F65</f>
        <v>-20902.090000000026</v>
      </c>
      <c r="E23" s="213"/>
      <c r="G23" s="246"/>
      <c r="H23" s="221">
        <f>D23*$I$6</f>
        <v>-84130912.250000104</v>
      </c>
      <c r="I23" s="221"/>
      <c r="J23" s="221"/>
    </row>
    <row r="24" spans="1:10" x14ac:dyDescent="0.25">
      <c r="A24" s="206" t="s">
        <v>76</v>
      </c>
      <c r="B24" s="214">
        <v>1800</v>
      </c>
      <c r="C24" s="203" t="str">
        <f>VLOOKUP($B24,' TB'!$A$6:$E$137,2,FALSE)</f>
        <v>Opening Balance Equity</v>
      </c>
      <c r="D24" s="202">
        <f>-VLOOKUP($B24,' TB'!$A$6:$E$137,3,FALSE)</f>
        <v>-5707</v>
      </c>
      <c r="E24" s="202"/>
      <c r="G24" s="246"/>
      <c r="H24" s="221">
        <f>D24*$I$6</f>
        <v>-22970675</v>
      </c>
      <c r="I24" s="221"/>
      <c r="J24" s="221"/>
    </row>
    <row r="25" spans="1:10" x14ac:dyDescent="0.25">
      <c r="A25" s="206" t="s">
        <v>76</v>
      </c>
      <c r="B25" s="214">
        <v>1900</v>
      </c>
      <c r="C25" s="203" t="str">
        <f>VLOOKUP($B25,' TB'!$A$6:$E$137,2,FALSE)</f>
        <v>Retained Earnings</v>
      </c>
      <c r="D25" s="215">
        <f>VLOOKUP($B25,' TB'!$A$6:$E$137,4,FALSE)</f>
        <v>41445.449999999997</v>
      </c>
      <c r="E25" s="215"/>
      <c r="G25" s="246"/>
      <c r="H25" s="221">
        <f>D25*$I$6</f>
        <v>166817936.25</v>
      </c>
      <c r="I25" s="222"/>
      <c r="J25" s="221"/>
    </row>
    <row r="26" spans="1:10" x14ac:dyDescent="0.25">
      <c r="C26" s="203" t="s">
        <v>472</v>
      </c>
      <c r="E26" s="204">
        <f>((D23)+(D24))+(D25)</f>
        <v>14836.359999999971</v>
      </c>
      <c r="G26" s="246"/>
      <c r="H26" s="220"/>
      <c r="I26" s="221">
        <f>E26*$I$6</f>
        <v>59716348.999999888</v>
      </c>
      <c r="J26" s="221"/>
    </row>
    <row r="27" spans="1:10" ht="15.75" thickBot="1" x14ac:dyDescent="0.3">
      <c r="C27" s="207" t="s">
        <v>473</v>
      </c>
      <c r="F27" s="219">
        <f>(E21)+(E26)</f>
        <v>19763.259999999973</v>
      </c>
      <c r="G27" s="245"/>
      <c r="H27" s="221"/>
      <c r="I27" s="221"/>
      <c r="J27" s="223">
        <f>I21+I26</f>
        <v>79547122.499999881</v>
      </c>
    </row>
    <row r="28" spans="1:10" ht="15.75" thickTop="1" x14ac:dyDescent="0.25">
      <c r="C28" s="203"/>
      <c r="D28" s="213"/>
      <c r="E28" s="213"/>
      <c r="G28" s="246"/>
      <c r="H28" s="220"/>
      <c r="I28" s="221"/>
      <c r="J28" s="221"/>
    </row>
    <row r="31" spans="1:10" x14ac:dyDescent="0.25">
      <c r="C31" s="258"/>
      <c r="D31" s="259"/>
      <c r="E31" s="196"/>
    </row>
  </sheetData>
  <mergeCells count="11">
    <mergeCell ref="H5:J5"/>
    <mergeCell ref="A1:J1"/>
    <mergeCell ref="A2:J2"/>
    <mergeCell ref="A3:J3"/>
    <mergeCell ref="C31:D31"/>
    <mergeCell ref="A6:B6"/>
    <mergeCell ref="B7:C7"/>
    <mergeCell ref="B12:C12"/>
    <mergeCell ref="B14:C14"/>
    <mergeCell ref="A13:C13"/>
    <mergeCell ref="B22:C22"/>
  </mergeCells>
  <pageMargins left="0.7" right="0.7" top="0.75" bottom="0.75" header="0.3" footer="0.3"/>
  <pageSetup paperSize="9" orientation="landscape"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60E76A-D18C-46BB-A3A8-CD4CDCA4CB44}">
  <dimension ref="A1:G61"/>
  <sheetViews>
    <sheetView workbookViewId="0">
      <selection activeCell="J54" sqref="J54"/>
    </sheetView>
  </sheetViews>
  <sheetFormatPr defaultRowHeight="15" x14ac:dyDescent="0.25"/>
  <cols>
    <col min="1" max="1" width="6.42578125" customWidth="1"/>
    <col min="2" max="2" width="47.28515625" customWidth="1"/>
    <col min="3" max="3" width="14.7109375" customWidth="1"/>
    <col min="4" max="4" width="12.42578125" customWidth="1"/>
    <col min="5" max="5" width="2" customWidth="1"/>
    <col min="6" max="6" width="18.28515625" customWidth="1"/>
    <col min="7" max="7" width="16.85546875" style="227" bestFit="1" customWidth="1"/>
  </cols>
  <sheetData>
    <row r="1" spans="1:7" ht="18" x14ac:dyDescent="0.25">
      <c r="A1" s="263" t="s">
        <v>711</v>
      </c>
      <c r="B1" s="263"/>
      <c r="C1" s="263"/>
      <c r="D1" s="263"/>
      <c r="E1" s="263"/>
      <c r="F1" s="263"/>
      <c r="G1" s="263"/>
    </row>
    <row r="2" spans="1:7" ht="15" customHeight="1" x14ac:dyDescent="0.25">
      <c r="A2" s="263" t="s">
        <v>584</v>
      </c>
      <c r="B2" s="263"/>
      <c r="C2" s="263"/>
      <c r="D2" s="263"/>
      <c r="E2" s="263"/>
      <c r="F2" s="263"/>
      <c r="G2" s="263"/>
    </row>
    <row r="3" spans="1:7" x14ac:dyDescent="0.25">
      <c r="A3" s="264" t="s">
        <v>648</v>
      </c>
      <c r="B3" s="264"/>
      <c r="C3" s="264"/>
      <c r="D3" s="264"/>
      <c r="E3" s="264"/>
      <c r="F3" s="264"/>
      <c r="G3" s="264"/>
    </row>
    <row r="4" spans="1:7" x14ac:dyDescent="0.25">
      <c r="E4" s="237"/>
      <c r="F4" s="229" t="s">
        <v>645</v>
      </c>
      <c r="G4" s="229">
        <v>4025</v>
      </c>
    </row>
    <row r="5" spans="1:7" x14ac:dyDescent="0.25">
      <c r="A5" s="177"/>
      <c r="B5" s="177"/>
      <c r="C5" s="178" t="s">
        <v>585</v>
      </c>
      <c r="D5" s="178" t="s">
        <v>586</v>
      </c>
      <c r="E5" s="237"/>
      <c r="F5" s="230" t="s">
        <v>585</v>
      </c>
      <c r="G5" s="231" t="s">
        <v>586</v>
      </c>
    </row>
    <row r="6" spans="1:7" x14ac:dyDescent="0.25">
      <c r="A6" s="179">
        <v>1000</v>
      </c>
      <c r="B6" s="179" t="s">
        <v>649</v>
      </c>
      <c r="C6" s="180">
        <f>16970.17</f>
        <v>16970.169999999998</v>
      </c>
      <c r="D6" s="181"/>
      <c r="E6" s="237"/>
      <c r="F6" s="232">
        <f>C6*$G$4</f>
        <v>68304934.25</v>
      </c>
      <c r="G6" s="232"/>
    </row>
    <row r="7" spans="1:7" x14ac:dyDescent="0.25">
      <c r="A7" s="179">
        <v>1006</v>
      </c>
      <c r="B7" s="179" t="s">
        <v>650</v>
      </c>
      <c r="C7" s="180">
        <f>2700</f>
        <v>2700</v>
      </c>
      <c r="D7" s="181"/>
      <c r="E7" s="237"/>
      <c r="F7" s="232">
        <f>C7*$G$4</f>
        <v>10867500</v>
      </c>
      <c r="G7" s="232"/>
    </row>
    <row r="8" spans="1:7" x14ac:dyDescent="0.25">
      <c r="A8" s="179">
        <v>1004</v>
      </c>
      <c r="B8" s="179" t="s">
        <v>651</v>
      </c>
      <c r="C8" s="180">
        <f>0</f>
        <v>0</v>
      </c>
      <c r="D8" s="181"/>
      <c r="E8" s="237"/>
      <c r="F8" s="232">
        <f>C8*$G$4</f>
        <v>0</v>
      </c>
      <c r="G8" s="232"/>
    </row>
    <row r="9" spans="1:7" x14ac:dyDescent="0.25">
      <c r="A9" s="179">
        <v>1005</v>
      </c>
      <c r="B9" s="179" t="s">
        <v>652</v>
      </c>
      <c r="C9" s="180">
        <f>93.09</f>
        <v>93.09</v>
      </c>
      <c r="D9" s="181"/>
      <c r="E9" s="237"/>
      <c r="F9" s="232">
        <f>C9*$G$4</f>
        <v>374687.25</v>
      </c>
      <c r="G9" s="232"/>
    </row>
    <row r="10" spans="1:7" x14ac:dyDescent="0.25">
      <c r="A10" s="179">
        <v>1760</v>
      </c>
      <c r="B10" s="179" t="s">
        <v>653</v>
      </c>
      <c r="C10" s="181"/>
      <c r="D10" s="180">
        <f>47.51</f>
        <v>47.51</v>
      </c>
      <c r="E10" s="237"/>
      <c r="F10" s="232"/>
      <c r="G10" s="232">
        <f>D10*$G$4</f>
        <v>191227.75</v>
      </c>
    </row>
    <row r="11" spans="1:7" x14ac:dyDescent="0.25">
      <c r="A11" s="179">
        <v>1770</v>
      </c>
      <c r="B11" s="179" t="s">
        <v>654</v>
      </c>
      <c r="C11" s="181"/>
      <c r="D11" s="180">
        <f>171.02</f>
        <v>171.02</v>
      </c>
      <c r="E11" s="237"/>
      <c r="F11" s="232"/>
      <c r="G11" s="232">
        <f>D11*$G$4</f>
        <v>688355.5</v>
      </c>
    </row>
    <row r="12" spans="1:7" x14ac:dyDescent="0.25">
      <c r="A12" s="179">
        <v>1780</v>
      </c>
      <c r="B12" s="179" t="s">
        <v>655</v>
      </c>
      <c r="C12" s="181"/>
      <c r="D12" s="180">
        <f>2497</f>
        <v>2497</v>
      </c>
      <c r="E12" s="237"/>
      <c r="F12" s="232"/>
      <c r="G12" s="232">
        <f>D12*$G$4</f>
        <v>10050425</v>
      </c>
    </row>
    <row r="13" spans="1:7" x14ac:dyDescent="0.25">
      <c r="A13" s="179">
        <v>1700</v>
      </c>
      <c r="B13" s="179" t="s">
        <v>703</v>
      </c>
      <c r="C13" s="181"/>
      <c r="D13" s="180">
        <f>2211.37</f>
        <v>2211.37</v>
      </c>
      <c r="E13" s="237"/>
      <c r="F13" s="232"/>
      <c r="G13" s="232">
        <f>D13*$G$4</f>
        <v>8900764.25</v>
      </c>
    </row>
    <row r="14" spans="1:7" x14ac:dyDescent="0.25">
      <c r="A14" s="179">
        <v>1750</v>
      </c>
      <c r="B14" s="179" t="s">
        <v>656</v>
      </c>
      <c r="C14" s="181"/>
      <c r="D14" s="180">
        <f>0</f>
        <v>0</v>
      </c>
      <c r="E14" s="237"/>
      <c r="F14" s="232"/>
      <c r="G14" s="232"/>
    </row>
    <row r="15" spans="1:7" x14ac:dyDescent="0.25">
      <c r="A15" s="179">
        <v>1800</v>
      </c>
      <c r="B15" s="179" t="s">
        <v>657</v>
      </c>
      <c r="C15" s="180">
        <f>5707</f>
        <v>5707</v>
      </c>
      <c r="D15" s="181"/>
      <c r="E15" s="237"/>
      <c r="F15" s="232">
        <f>C15*$G$4</f>
        <v>22970675</v>
      </c>
      <c r="G15" s="232"/>
    </row>
    <row r="16" spans="1:7" x14ac:dyDescent="0.25">
      <c r="A16" s="179">
        <v>1900</v>
      </c>
      <c r="B16" s="179" t="s">
        <v>658</v>
      </c>
      <c r="C16" s="181"/>
      <c r="D16" s="180">
        <f>41445.45</f>
        <v>41445.449999999997</v>
      </c>
      <c r="E16" s="237"/>
      <c r="F16" s="232"/>
      <c r="G16" s="232">
        <f>D16*$G$4</f>
        <v>166817936.25</v>
      </c>
    </row>
    <row r="17" spans="1:7" x14ac:dyDescent="0.25">
      <c r="A17" s="179">
        <v>8500</v>
      </c>
      <c r="B17" s="179" t="s">
        <v>659</v>
      </c>
      <c r="C17" s="181"/>
      <c r="D17" s="180">
        <f>245314</f>
        <v>245314</v>
      </c>
      <c r="E17" s="237"/>
      <c r="F17" s="232"/>
      <c r="G17" s="232">
        <f>D17*$G$4</f>
        <v>987388850</v>
      </c>
    </row>
    <row r="18" spans="1:7" x14ac:dyDescent="0.25">
      <c r="A18" s="179">
        <v>8700</v>
      </c>
      <c r="B18" s="179" t="s">
        <v>660</v>
      </c>
      <c r="C18" s="181"/>
      <c r="D18" s="180">
        <f>86.68</f>
        <v>86.68</v>
      </c>
      <c r="E18" s="237"/>
      <c r="F18" s="232"/>
      <c r="G18" s="232">
        <f>D18*$G$4</f>
        <v>348887</v>
      </c>
    </row>
    <row r="19" spans="1:7" x14ac:dyDescent="0.25">
      <c r="A19" s="179">
        <v>3001</v>
      </c>
      <c r="B19" s="179" t="s">
        <v>667</v>
      </c>
      <c r="C19" s="180">
        <f>153617.82</f>
        <v>153617.82</v>
      </c>
      <c r="D19" s="181"/>
      <c r="E19" s="237"/>
      <c r="F19" s="232">
        <f t="shared" ref="F19:F56" si="0">C19*$G$4</f>
        <v>618311725.5</v>
      </c>
      <c r="G19" s="232"/>
    </row>
    <row r="20" spans="1:7" x14ac:dyDescent="0.25">
      <c r="A20" s="179">
        <v>3002</v>
      </c>
      <c r="B20" s="179" t="s">
        <v>668</v>
      </c>
      <c r="C20" s="180">
        <f>11430.72</f>
        <v>11430.72</v>
      </c>
      <c r="D20" s="181"/>
      <c r="E20" s="237"/>
      <c r="F20" s="232">
        <f t="shared" si="0"/>
        <v>46008648</v>
      </c>
      <c r="G20" s="232"/>
    </row>
    <row r="21" spans="1:7" x14ac:dyDescent="0.25">
      <c r="A21" s="179">
        <v>3003</v>
      </c>
      <c r="B21" s="179" t="s">
        <v>669</v>
      </c>
      <c r="C21" s="180">
        <f>250</f>
        <v>250</v>
      </c>
      <c r="D21" s="181"/>
      <c r="E21" s="237"/>
      <c r="F21" s="232">
        <f t="shared" si="0"/>
        <v>1006250</v>
      </c>
      <c r="G21" s="232"/>
    </row>
    <row r="22" spans="1:7" x14ac:dyDescent="0.25">
      <c r="A22" s="179">
        <v>3005</v>
      </c>
      <c r="B22" s="179" t="s">
        <v>670</v>
      </c>
      <c r="C22" s="180">
        <f>1359.43</f>
        <v>1359.43</v>
      </c>
      <c r="D22" s="181"/>
      <c r="E22" s="237"/>
      <c r="F22" s="232">
        <f t="shared" si="0"/>
        <v>5471705.75</v>
      </c>
      <c r="G22" s="232"/>
    </row>
    <row r="23" spans="1:7" x14ac:dyDescent="0.25">
      <c r="A23" s="179">
        <v>3006</v>
      </c>
      <c r="B23" s="179" t="s">
        <v>671</v>
      </c>
      <c r="C23" s="180">
        <f>11308.85</f>
        <v>11308.85</v>
      </c>
      <c r="D23" s="181"/>
      <c r="E23" s="237"/>
      <c r="F23" s="232">
        <f t="shared" si="0"/>
        <v>45518121.25</v>
      </c>
      <c r="G23" s="232"/>
    </row>
    <row r="24" spans="1:7" x14ac:dyDescent="0.25">
      <c r="A24" s="179">
        <v>3007</v>
      </c>
      <c r="B24" s="179" t="s">
        <v>672</v>
      </c>
      <c r="C24" s="180">
        <f>15442.25</f>
        <v>15442.25</v>
      </c>
      <c r="D24" s="181"/>
      <c r="E24" s="237"/>
      <c r="F24" s="232">
        <f t="shared" si="0"/>
        <v>62155056.25</v>
      </c>
      <c r="G24" s="232"/>
    </row>
    <row r="25" spans="1:7" x14ac:dyDescent="0.25">
      <c r="A25" s="179">
        <v>3009</v>
      </c>
      <c r="B25" s="179" t="s">
        <v>673</v>
      </c>
      <c r="C25" s="180">
        <f>1827.2</f>
        <v>1827.2</v>
      </c>
      <c r="D25" s="181"/>
      <c r="E25" s="237"/>
      <c r="F25" s="232">
        <f t="shared" si="0"/>
        <v>7354480</v>
      </c>
      <c r="G25" s="232"/>
    </row>
    <row r="26" spans="1:7" x14ac:dyDescent="0.25">
      <c r="A26" s="179">
        <v>4001</v>
      </c>
      <c r="B26" s="179" t="s">
        <v>661</v>
      </c>
      <c r="C26" s="180">
        <f>11580</f>
        <v>11580</v>
      </c>
      <c r="D26" s="181"/>
      <c r="E26" s="237"/>
      <c r="F26" s="232">
        <f t="shared" si="0"/>
        <v>46609500</v>
      </c>
      <c r="G26" s="232"/>
    </row>
    <row r="27" spans="1:7" x14ac:dyDescent="0.25">
      <c r="A27" s="179">
        <v>4002</v>
      </c>
      <c r="B27" s="179" t="s">
        <v>664</v>
      </c>
      <c r="C27" s="180">
        <f>293.25</f>
        <v>293.25</v>
      </c>
      <c r="D27" s="181"/>
      <c r="E27" s="237"/>
      <c r="F27" s="232">
        <f t="shared" si="0"/>
        <v>1180331.25</v>
      </c>
      <c r="G27" s="232"/>
    </row>
    <row r="28" spans="1:7" x14ac:dyDescent="0.25">
      <c r="A28" s="179">
        <v>4005</v>
      </c>
      <c r="B28" s="179" t="s">
        <v>674</v>
      </c>
      <c r="C28" s="180">
        <f>1275.3</f>
        <v>1275.3</v>
      </c>
      <c r="D28" s="181"/>
      <c r="E28" s="237"/>
      <c r="F28" s="232">
        <f t="shared" si="0"/>
        <v>5133082.5</v>
      </c>
      <c r="G28" s="232"/>
    </row>
    <row r="29" spans="1:7" x14ac:dyDescent="0.25">
      <c r="A29" s="179">
        <v>4006</v>
      </c>
      <c r="B29" s="179" t="s">
        <v>666</v>
      </c>
      <c r="C29" s="180">
        <f>20</f>
        <v>20</v>
      </c>
      <c r="D29" s="181"/>
      <c r="E29" s="237"/>
      <c r="F29" s="232">
        <f t="shared" si="0"/>
        <v>80500</v>
      </c>
      <c r="G29" s="232"/>
    </row>
    <row r="30" spans="1:7" x14ac:dyDescent="0.25">
      <c r="A30" s="179">
        <v>4007</v>
      </c>
      <c r="B30" s="179" t="s">
        <v>675</v>
      </c>
      <c r="C30" s="180">
        <f>600</f>
        <v>600</v>
      </c>
      <c r="D30" s="181"/>
      <c r="E30" s="237"/>
      <c r="F30" s="232">
        <f t="shared" si="0"/>
        <v>2415000</v>
      </c>
      <c r="G30" s="232"/>
    </row>
    <row r="31" spans="1:7" x14ac:dyDescent="0.25">
      <c r="A31" s="179">
        <v>4008</v>
      </c>
      <c r="B31" s="179" t="s">
        <v>676</v>
      </c>
      <c r="C31" s="180">
        <f>604.74</f>
        <v>604.74</v>
      </c>
      <c r="D31" s="181"/>
      <c r="E31" s="237"/>
      <c r="F31" s="232">
        <f t="shared" si="0"/>
        <v>2434078.5</v>
      </c>
      <c r="G31" s="232"/>
    </row>
    <row r="32" spans="1:7" x14ac:dyDescent="0.25">
      <c r="A32" s="179">
        <v>4009</v>
      </c>
      <c r="B32" s="179" t="s">
        <v>677</v>
      </c>
      <c r="C32" s="180">
        <f>179.83</f>
        <v>179.83</v>
      </c>
      <c r="D32" s="181"/>
      <c r="E32" s="237"/>
      <c r="F32" s="232">
        <f t="shared" si="0"/>
        <v>723815.75</v>
      </c>
      <c r="G32" s="232"/>
    </row>
    <row r="33" spans="1:7" x14ac:dyDescent="0.25">
      <c r="A33" s="179">
        <v>4010</v>
      </c>
      <c r="B33" s="179" t="s">
        <v>678</v>
      </c>
      <c r="C33" s="180">
        <f>295.53</f>
        <v>295.52999999999997</v>
      </c>
      <c r="D33" s="181"/>
      <c r="E33" s="237"/>
      <c r="F33" s="232">
        <f t="shared" si="0"/>
        <v>1189508.25</v>
      </c>
      <c r="G33" s="232"/>
    </row>
    <row r="34" spans="1:7" x14ac:dyDescent="0.25">
      <c r="A34" s="179">
        <v>4011</v>
      </c>
      <c r="B34" s="179" t="s">
        <v>679</v>
      </c>
      <c r="C34" s="180">
        <f>60</f>
        <v>60</v>
      </c>
      <c r="D34" s="181"/>
      <c r="E34" s="237"/>
      <c r="F34" s="232">
        <f t="shared" si="0"/>
        <v>241500</v>
      </c>
      <c r="G34" s="232"/>
    </row>
    <row r="35" spans="1:7" x14ac:dyDescent="0.25">
      <c r="A35" s="179">
        <v>4012</v>
      </c>
      <c r="B35" s="179" t="s">
        <v>680</v>
      </c>
      <c r="C35" s="180">
        <f>177.8</f>
        <v>177.8</v>
      </c>
      <c r="D35" s="181"/>
      <c r="E35" s="237"/>
      <c r="F35" s="232">
        <f t="shared" si="0"/>
        <v>715645</v>
      </c>
      <c r="G35" s="232"/>
    </row>
    <row r="36" spans="1:7" x14ac:dyDescent="0.25">
      <c r="A36" s="179">
        <v>4013</v>
      </c>
      <c r="B36" s="179" t="s">
        <v>681</v>
      </c>
      <c r="C36" s="180">
        <f>529.78</f>
        <v>529.78</v>
      </c>
      <c r="D36" s="181"/>
      <c r="E36" s="237"/>
      <c r="F36" s="232">
        <f t="shared" si="0"/>
        <v>2132364.5</v>
      </c>
      <c r="G36" s="232"/>
    </row>
    <row r="37" spans="1:7" x14ac:dyDescent="0.25">
      <c r="A37" s="179">
        <v>4014</v>
      </c>
      <c r="B37" s="179" t="s">
        <v>682</v>
      </c>
      <c r="C37" s="180">
        <f>12776.1</f>
        <v>12776.1</v>
      </c>
      <c r="D37" s="181"/>
      <c r="E37" s="237"/>
      <c r="F37" s="232">
        <f t="shared" si="0"/>
        <v>51423802.5</v>
      </c>
      <c r="G37" s="232"/>
    </row>
    <row r="38" spans="1:7" x14ac:dyDescent="0.25">
      <c r="A38" s="179">
        <v>4015</v>
      </c>
      <c r="B38" s="179" t="s">
        <v>683</v>
      </c>
      <c r="C38" s="180">
        <f>18503.24</f>
        <v>18503.240000000002</v>
      </c>
      <c r="D38" s="181"/>
      <c r="E38" s="237"/>
      <c r="F38" s="232">
        <f t="shared" si="0"/>
        <v>74475541</v>
      </c>
      <c r="G38" s="232"/>
    </row>
    <row r="39" spans="1:7" x14ac:dyDescent="0.25">
      <c r="A39" s="179">
        <v>4016</v>
      </c>
      <c r="B39" s="179" t="s">
        <v>684</v>
      </c>
      <c r="C39" s="180">
        <f>27.49</f>
        <v>27.49</v>
      </c>
      <c r="D39" s="181"/>
      <c r="E39" s="237"/>
      <c r="F39" s="232">
        <f t="shared" si="0"/>
        <v>110647.25</v>
      </c>
      <c r="G39" s="232"/>
    </row>
    <row r="40" spans="1:7" x14ac:dyDescent="0.25">
      <c r="A40" s="179">
        <v>5001</v>
      </c>
      <c r="B40" s="179" t="s">
        <v>685</v>
      </c>
      <c r="C40" s="180">
        <f>395.65</f>
        <v>395.65</v>
      </c>
      <c r="D40" s="181"/>
      <c r="E40" s="237"/>
      <c r="F40" s="232">
        <f t="shared" si="0"/>
        <v>1592491.25</v>
      </c>
      <c r="G40" s="232"/>
    </row>
    <row r="41" spans="1:7" x14ac:dyDescent="0.25">
      <c r="A41" s="179">
        <v>5002</v>
      </c>
      <c r="B41" s="179" t="s">
        <v>686</v>
      </c>
      <c r="C41" s="180">
        <f>156.2</f>
        <v>156.19999999999999</v>
      </c>
      <c r="D41" s="181"/>
      <c r="E41" s="237"/>
      <c r="F41" s="232">
        <f t="shared" si="0"/>
        <v>628705</v>
      </c>
      <c r="G41" s="232"/>
    </row>
    <row r="42" spans="1:7" x14ac:dyDescent="0.25">
      <c r="A42" s="179">
        <v>5003</v>
      </c>
      <c r="B42" s="179" t="s">
        <v>688</v>
      </c>
      <c r="C42" s="180">
        <f>264</f>
        <v>264</v>
      </c>
      <c r="D42" s="181"/>
      <c r="E42" s="237"/>
      <c r="F42" s="232">
        <f t="shared" si="0"/>
        <v>1062600</v>
      </c>
      <c r="G42" s="232"/>
    </row>
    <row r="43" spans="1:7" x14ac:dyDescent="0.25">
      <c r="A43" s="179">
        <v>5005</v>
      </c>
      <c r="B43" s="179" t="s">
        <v>689</v>
      </c>
      <c r="C43" s="180">
        <f>517.22</f>
        <v>517.22</v>
      </c>
      <c r="D43" s="181"/>
      <c r="E43" s="237"/>
      <c r="F43" s="232">
        <f t="shared" si="0"/>
        <v>2081810.5</v>
      </c>
      <c r="G43" s="232"/>
    </row>
    <row r="44" spans="1:7" x14ac:dyDescent="0.25">
      <c r="A44" s="179">
        <v>5099</v>
      </c>
      <c r="B44" s="179" t="s">
        <v>690</v>
      </c>
      <c r="C44" s="180">
        <f>74.37</f>
        <v>74.37</v>
      </c>
      <c r="D44" s="181"/>
      <c r="E44" s="237"/>
      <c r="F44" s="232">
        <f t="shared" si="0"/>
        <v>299339.25</v>
      </c>
      <c r="G44" s="232"/>
    </row>
    <row r="45" spans="1:7" x14ac:dyDescent="0.25">
      <c r="A45" s="179">
        <v>5202</v>
      </c>
      <c r="B45" s="179" t="s">
        <v>691</v>
      </c>
      <c r="C45" s="180">
        <f>4800</f>
        <v>4800</v>
      </c>
      <c r="D45" s="181"/>
      <c r="E45" s="237"/>
      <c r="F45" s="232">
        <f t="shared" si="0"/>
        <v>19320000</v>
      </c>
      <c r="G45" s="232"/>
    </row>
    <row r="46" spans="1:7" x14ac:dyDescent="0.25">
      <c r="A46" s="179">
        <v>5203</v>
      </c>
      <c r="B46" s="179" t="s">
        <v>704</v>
      </c>
      <c r="C46" s="180">
        <f>2497</f>
        <v>2497</v>
      </c>
      <c r="D46" s="181"/>
      <c r="E46" s="237"/>
      <c r="F46" s="232">
        <f t="shared" si="0"/>
        <v>10050425</v>
      </c>
      <c r="G46" s="232"/>
    </row>
    <row r="47" spans="1:7" x14ac:dyDescent="0.25">
      <c r="A47" s="179">
        <v>5205</v>
      </c>
      <c r="B47" s="179" t="s">
        <v>705</v>
      </c>
      <c r="C47" s="180">
        <f>539.55</f>
        <v>539.54999999999995</v>
      </c>
      <c r="D47" s="181"/>
      <c r="E47" s="237"/>
      <c r="F47" s="232">
        <f t="shared" si="0"/>
        <v>2171688.75</v>
      </c>
      <c r="G47" s="232"/>
    </row>
    <row r="48" spans="1:7" x14ac:dyDescent="0.25">
      <c r="A48" s="179">
        <v>6001</v>
      </c>
      <c r="B48" s="179" t="s">
        <v>693</v>
      </c>
      <c r="C48" s="180">
        <f>3295.8</f>
        <v>3295.8</v>
      </c>
      <c r="D48" s="181"/>
      <c r="E48" s="237"/>
      <c r="F48" s="232">
        <f t="shared" si="0"/>
        <v>13265595</v>
      </c>
      <c r="G48" s="232"/>
    </row>
    <row r="49" spans="1:7" x14ac:dyDescent="0.25">
      <c r="A49" s="179">
        <v>6003</v>
      </c>
      <c r="B49" s="179" t="s">
        <v>695</v>
      </c>
      <c r="C49" s="180">
        <f>43.73</f>
        <v>43.73</v>
      </c>
      <c r="D49" s="181"/>
      <c r="E49" s="237"/>
      <c r="F49" s="232">
        <f t="shared" si="0"/>
        <v>176013.25</v>
      </c>
      <c r="G49" s="232"/>
    </row>
    <row r="50" spans="1:7" x14ac:dyDescent="0.25">
      <c r="A50" s="179">
        <v>6005</v>
      </c>
      <c r="B50" s="179" t="s">
        <v>696</v>
      </c>
      <c r="C50" s="180">
        <f>1538.5</f>
        <v>1538.5</v>
      </c>
      <c r="D50" s="181"/>
      <c r="E50" s="237"/>
      <c r="F50" s="232">
        <f t="shared" si="0"/>
        <v>6192462.5</v>
      </c>
      <c r="G50" s="232"/>
    </row>
    <row r="51" spans="1:7" x14ac:dyDescent="0.25">
      <c r="A51" s="179">
        <v>6006</v>
      </c>
      <c r="B51" s="179" t="s">
        <v>697</v>
      </c>
      <c r="C51" s="180">
        <f>1749.18</f>
        <v>1749.18</v>
      </c>
      <c r="D51" s="181"/>
      <c r="E51" s="237"/>
      <c r="F51" s="232">
        <f t="shared" si="0"/>
        <v>7040449.5</v>
      </c>
      <c r="G51" s="232"/>
    </row>
    <row r="52" spans="1:7" x14ac:dyDescent="0.25">
      <c r="A52" s="179">
        <v>6007</v>
      </c>
      <c r="B52" s="179" t="s">
        <v>698</v>
      </c>
      <c r="C52" s="180">
        <f>593.08</f>
        <v>593.08000000000004</v>
      </c>
      <c r="D52" s="181"/>
      <c r="E52" s="237"/>
      <c r="F52" s="232">
        <f t="shared" si="0"/>
        <v>2387147</v>
      </c>
      <c r="G52" s="232"/>
    </row>
    <row r="53" spans="1:7" x14ac:dyDescent="0.25">
      <c r="A53" s="179">
        <v>6106</v>
      </c>
      <c r="B53" s="179" t="s">
        <v>702</v>
      </c>
      <c r="C53" s="180">
        <f>2690.87</f>
        <v>2690.87</v>
      </c>
      <c r="D53" s="181"/>
      <c r="E53" s="237"/>
      <c r="F53" s="232">
        <f t="shared" si="0"/>
        <v>10830751.75</v>
      </c>
      <c r="G53" s="232"/>
    </row>
    <row r="54" spans="1:7" x14ac:dyDescent="0.25">
      <c r="A54" s="179">
        <v>6201</v>
      </c>
      <c r="B54" s="179" t="s">
        <v>699</v>
      </c>
      <c r="C54" s="180">
        <f>2887.44</f>
        <v>2887.44</v>
      </c>
      <c r="D54" s="181"/>
      <c r="E54" s="237"/>
      <c r="F54" s="232">
        <f t="shared" si="0"/>
        <v>11621946</v>
      </c>
      <c r="G54" s="232"/>
    </row>
    <row r="55" spans="1:7" x14ac:dyDescent="0.25">
      <c r="A55" s="179">
        <v>6205</v>
      </c>
      <c r="B55" s="179" t="s">
        <v>706</v>
      </c>
      <c r="C55" s="180">
        <f>2000</f>
        <v>2000</v>
      </c>
      <c r="D55" s="181"/>
      <c r="E55" s="237"/>
      <c r="F55" s="232">
        <f t="shared" si="0"/>
        <v>8050000</v>
      </c>
      <c r="G55" s="232"/>
    </row>
    <row r="56" spans="1:7" x14ac:dyDescent="0.25">
      <c r="A56" s="179">
        <v>6207</v>
      </c>
      <c r="B56" s="179" t="s">
        <v>707</v>
      </c>
      <c r="C56" s="180">
        <f>100.85</f>
        <v>100.85</v>
      </c>
      <c r="D56" s="181"/>
      <c r="E56" s="237"/>
      <c r="F56" s="233">
        <f t="shared" si="0"/>
        <v>405921.25</v>
      </c>
      <c r="G56" s="233"/>
    </row>
    <row r="57" spans="1:7" ht="15.75" thickBot="1" x14ac:dyDescent="0.3">
      <c r="B57" s="236" t="s">
        <v>587</v>
      </c>
      <c r="C57" s="228">
        <f>((((((((((((((((((((((((((((((((((((((((((((((((((C6)+(C7))+(C8))+(C9))+(C10))+(C11))+(C12))+(C13))+(C14))+(C15))+(C16))+(C17))+(C18))+(C19))+(C20))+(C21))+(C22))+(C23))+(C24))+(C25))+(C26))+(C27))+(C28))+(C29))+(C30))+(C31))+(C32))+(C33))+(C34))+(C35))+(C36))+(C37))+(C38))+(C39))+(C40))+(C41))+(C42))+(C43))+(C44))+(C45))+(C46))+(C47))+(C48))+(C49))+(C50))+(C51))+(C52))+(C53))+(C54))+(C55))+(C56)</f>
        <v>291773.02999999991</v>
      </c>
      <c r="D57" s="228">
        <f>((((((((((((((((((((((((((((((((((((((((((((((((((D6)+(D7))+(D8))+(D9))+(D10))+(D11))+(D12))+(D13))+(D14))+(D15))+(D16))+(D17))+(D18))+(D19))+(D20))+(D21))+(D22))+(D23))+(D24))+(D25))+(D26))+(D27))+(D28))+(D29))+(D30))+(D31))+(D32))+(D33))+(D34))+(D35))+(D36))+(D37))+(D38))+(D39))+(D40))+(D41))+(D42))+(D43))+(D44))+(D45))+(D46))+(D47))+(D48))+(D49))+(D50))+(D51))+(D52))+(D53))+(D54))+(D55))+(D56)</f>
        <v>291773.02999999997</v>
      </c>
      <c r="E57" s="237"/>
      <c r="F57" s="234">
        <f>SUM(F6:F56)</f>
        <v>1174386445.75</v>
      </c>
      <c r="G57" s="235">
        <f>SUM(G6:G56)</f>
        <v>1174386445.75</v>
      </c>
    </row>
    <row r="58" spans="1:7" ht="15.75" thickTop="1" x14ac:dyDescent="0.25">
      <c r="B58" s="179"/>
      <c r="C58" s="181"/>
      <c r="D58" s="181"/>
    </row>
    <row r="61" spans="1:7" x14ac:dyDescent="0.25">
      <c r="B61" s="261"/>
      <c r="C61" s="262"/>
      <c r="D61" s="262"/>
    </row>
  </sheetData>
  <mergeCells count="4">
    <mergeCell ref="B61:D61"/>
    <mergeCell ref="A1:G1"/>
    <mergeCell ref="A2:G2"/>
    <mergeCell ref="A3:G3"/>
  </mergeCells>
  <pageMargins left="0.7" right="0.7" top="0.75" bottom="0.75" header="0.3" footer="0.3"/>
  <pageSetup paperSize="9" orientation="landscape"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A1:I147"/>
  <sheetViews>
    <sheetView tabSelected="1" zoomScaleNormal="100" workbookViewId="0">
      <pane xSplit="3" ySplit="5" topLeftCell="D6" activePane="bottomRight" state="frozen"/>
      <selection pane="topRight" activeCell="D1" sqref="D1"/>
      <selection pane="bottomLeft" activeCell="A5" sqref="A5"/>
      <selection pane="bottomRight" activeCell="G91" sqref="G91"/>
    </sheetView>
  </sheetViews>
  <sheetFormatPr defaultColWidth="8.7109375" defaultRowHeight="15" x14ac:dyDescent="0.25"/>
  <cols>
    <col min="1" max="1" width="11.85546875" style="161" customWidth="1"/>
    <col min="2" max="2" width="2.28515625" style="25" customWidth="1"/>
    <col min="3" max="3" width="52.7109375" style="25" customWidth="1"/>
    <col min="4" max="4" width="13.7109375" style="24" customWidth="1"/>
    <col min="5" max="5" width="12.28515625" style="26" customWidth="1"/>
    <col min="6" max="6" width="16.7109375" style="24" bestFit="1" customWidth="1"/>
    <col min="7" max="7" width="17.28515625" style="24" customWidth="1"/>
    <col min="8" max="8" width="8.7109375" style="24"/>
    <col min="9" max="9" width="10.28515625" style="24" bestFit="1" customWidth="1"/>
    <col min="10" max="16384" width="8.7109375" style="24"/>
  </cols>
  <sheetData>
    <row r="1" spans="1:7" ht="15.75" thickBot="1" x14ac:dyDescent="0.3">
      <c r="A1" s="156" t="s">
        <v>232</v>
      </c>
      <c r="C1" s="114"/>
      <c r="D1" s="115"/>
      <c r="E1" s="116"/>
      <c r="F1" s="115"/>
      <c r="G1" s="117"/>
    </row>
    <row r="2" spans="1:7" x14ac:dyDescent="0.25">
      <c r="A2" s="270" t="s">
        <v>646</v>
      </c>
      <c r="B2" s="273"/>
      <c r="C2" s="276" t="s">
        <v>647</v>
      </c>
      <c r="D2" s="152" t="s">
        <v>240</v>
      </c>
      <c r="E2" s="153">
        <v>4025</v>
      </c>
      <c r="F2" s="268" t="s">
        <v>456</v>
      </c>
      <c r="G2" s="269"/>
    </row>
    <row r="3" spans="1:7" x14ac:dyDescent="0.25">
      <c r="A3" s="271"/>
      <c r="B3" s="274"/>
      <c r="C3" s="277"/>
      <c r="D3" s="265" t="s">
        <v>708</v>
      </c>
      <c r="E3" s="265"/>
      <c r="F3" s="266" t="s">
        <v>645</v>
      </c>
      <c r="G3" s="267"/>
    </row>
    <row r="4" spans="1:7" ht="15.75" thickBot="1" x14ac:dyDescent="0.3">
      <c r="A4" s="272"/>
      <c r="B4" s="275"/>
      <c r="C4" s="278"/>
      <c r="D4" s="189" t="s">
        <v>239</v>
      </c>
      <c r="E4" s="190" t="s">
        <v>644</v>
      </c>
      <c r="F4" s="154" t="s">
        <v>241</v>
      </c>
      <c r="G4" s="155" t="s">
        <v>242</v>
      </c>
    </row>
    <row r="5" spans="1:7" x14ac:dyDescent="0.25">
      <c r="A5" s="157" t="s">
        <v>41</v>
      </c>
      <c r="B5" s="144" t="s">
        <v>231</v>
      </c>
      <c r="C5" s="149"/>
      <c r="D5" s="150">
        <f>+D6+D18</f>
        <v>19763.259999999998</v>
      </c>
      <c r="E5" s="151">
        <f>+E6+E18</f>
        <v>0</v>
      </c>
      <c r="F5" s="162">
        <f>+F6+F18</f>
        <v>79547121.5</v>
      </c>
      <c r="G5" s="163">
        <f t="shared" ref="G5" si="0">+G6+G18</f>
        <v>0</v>
      </c>
    </row>
    <row r="6" spans="1:7" x14ac:dyDescent="0.25">
      <c r="A6" s="158" t="s">
        <v>42</v>
      </c>
      <c r="B6" s="143" t="s">
        <v>138</v>
      </c>
      <c r="C6" s="121"/>
      <c r="D6" s="125">
        <f>SUM(D7:D17)</f>
        <v>0</v>
      </c>
      <c r="E6" s="126"/>
      <c r="F6" s="139">
        <f t="shared" ref="F6:G6" si="1">SUM(F7:F17)</f>
        <v>0</v>
      </c>
      <c r="G6" s="139">
        <f t="shared" si="1"/>
        <v>0</v>
      </c>
    </row>
    <row r="7" spans="1:7" x14ac:dyDescent="0.25">
      <c r="A7" s="158" t="s">
        <v>43</v>
      </c>
      <c r="B7" s="121"/>
      <c r="C7" s="121" t="s">
        <v>139</v>
      </c>
      <c r="D7" s="125">
        <f>SUMIF(BS!A:A,'Chart of Account (Tax Dpt)'!A7,BS!D:D)</f>
        <v>0</v>
      </c>
      <c r="E7" s="126"/>
      <c r="F7" s="140">
        <f>D7*E$2</f>
        <v>0</v>
      </c>
      <c r="G7" s="140">
        <f t="shared" ref="G7:G77" si="2">E7*E$2</f>
        <v>0</v>
      </c>
    </row>
    <row r="8" spans="1:7" x14ac:dyDescent="0.25">
      <c r="A8" s="158" t="s">
        <v>44</v>
      </c>
      <c r="B8" s="121"/>
      <c r="C8" s="121" t="s">
        <v>140</v>
      </c>
      <c r="D8" s="125">
        <f>SUMIF(BS!A:A,'Chart of Account (Tax Dpt)'!A8,BS!D:D)</f>
        <v>0</v>
      </c>
      <c r="E8" s="126"/>
      <c r="F8" s="140">
        <f t="shared" ref="F8:F77" si="3">D8*E$2</f>
        <v>0</v>
      </c>
      <c r="G8" s="140">
        <f t="shared" si="2"/>
        <v>0</v>
      </c>
    </row>
    <row r="9" spans="1:7" x14ac:dyDescent="0.25">
      <c r="A9" s="158" t="s">
        <v>45</v>
      </c>
      <c r="B9" s="121"/>
      <c r="C9" s="121" t="s">
        <v>141</v>
      </c>
      <c r="D9" s="125">
        <f>SUMIF(BS!A:A,'Chart of Account (Tax Dpt)'!A9,BS!D:D)</f>
        <v>0</v>
      </c>
      <c r="E9" s="126"/>
      <c r="F9" s="140">
        <f t="shared" si="3"/>
        <v>0</v>
      </c>
      <c r="G9" s="140">
        <f t="shared" si="2"/>
        <v>0</v>
      </c>
    </row>
    <row r="10" spans="1:7" x14ac:dyDescent="0.25">
      <c r="A10" s="158" t="s">
        <v>46</v>
      </c>
      <c r="B10" s="121"/>
      <c r="C10" s="121" t="s">
        <v>142</v>
      </c>
      <c r="D10" s="125">
        <f>SUMIF(BS!A:A,'Chart of Account (Tax Dpt)'!A10,BS!D:D)</f>
        <v>0</v>
      </c>
      <c r="E10" s="126"/>
      <c r="F10" s="140">
        <f t="shared" si="3"/>
        <v>0</v>
      </c>
      <c r="G10" s="140">
        <f t="shared" si="2"/>
        <v>0</v>
      </c>
    </row>
    <row r="11" spans="1:7" x14ac:dyDescent="0.25">
      <c r="A11" s="158" t="s">
        <v>47</v>
      </c>
      <c r="B11" s="121"/>
      <c r="C11" s="121" t="s">
        <v>143</v>
      </c>
      <c r="D11" s="125">
        <f>SUMIF(BS!A:A,'Chart of Account (Tax Dpt)'!A11,BS!D:D)</f>
        <v>0</v>
      </c>
      <c r="E11" s="126"/>
      <c r="F11" s="140">
        <f t="shared" si="3"/>
        <v>0</v>
      </c>
      <c r="G11" s="140">
        <f t="shared" si="2"/>
        <v>0</v>
      </c>
    </row>
    <row r="12" spans="1:7" x14ac:dyDescent="0.25">
      <c r="A12" s="158" t="s">
        <v>48</v>
      </c>
      <c r="B12" s="121"/>
      <c r="C12" s="121" t="s">
        <v>144</v>
      </c>
      <c r="D12" s="125">
        <f>SUMIF(BS!A:A,'Chart of Account (Tax Dpt)'!A12,BS!D:D)</f>
        <v>0</v>
      </c>
      <c r="E12" s="126"/>
      <c r="F12" s="140">
        <f t="shared" si="3"/>
        <v>0</v>
      </c>
      <c r="G12" s="140">
        <f t="shared" si="2"/>
        <v>0</v>
      </c>
    </row>
    <row r="13" spans="1:7" x14ac:dyDescent="0.25">
      <c r="A13" s="158" t="s">
        <v>49</v>
      </c>
      <c r="B13" s="121"/>
      <c r="C13" s="121" t="s">
        <v>145</v>
      </c>
      <c r="D13" s="125">
        <f>SUMIF(BS!A:A,'Chart of Account (Tax Dpt)'!A13,BS!D:D)</f>
        <v>0</v>
      </c>
      <c r="E13" s="126"/>
      <c r="F13" s="140">
        <f t="shared" si="3"/>
        <v>0</v>
      </c>
      <c r="G13" s="140">
        <f t="shared" si="2"/>
        <v>0</v>
      </c>
    </row>
    <row r="14" spans="1:7" x14ac:dyDescent="0.25">
      <c r="A14" s="158" t="s">
        <v>50</v>
      </c>
      <c r="B14" s="121"/>
      <c r="C14" s="121" t="s">
        <v>146</v>
      </c>
      <c r="D14" s="125">
        <f>SUMIF(BS!A:A,'Chart of Account (Tax Dpt)'!A14,BS!D:D)</f>
        <v>0</v>
      </c>
      <c r="E14" s="126"/>
      <c r="F14" s="140">
        <f t="shared" si="3"/>
        <v>0</v>
      </c>
      <c r="G14" s="140">
        <f t="shared" si="2"/>
        <v>0</v>
      </c>
    </row>
    <row r="15" spans="1:7" x14ac:dyDescent="0.25">
      <c r="A15" s="158" t="s">
        <v>51</v>
      </c>
      <c r="B15" s="121"/>
      <c r="C15" s="121" t="s">
        <v>147</v>
      </c>
      <c r="D15" s="125">
        <f>SUMIF(BS!A:A,'Chart of Account (Tax Dpt)'!A15,BS!D:D)</f>
        <v>0</v>
      </c>
      <c r="E15" s="126"/>
      <c r="F15" s="140">
        <f t="shared" si="3"/>
        <v>0</v>
      </c>
      <c r="G15" s="140">
        <f t="shared" si="2"/>
        <v>0</v>
      </c>
    </row>
    <row r="16" spans="1:7" x14ac:dyDescent="0.25">
      <c r="A16" s="158" t="s">
        <v>52</v>
      </c>
      <c r="B16" s="121"/>
      <c r="C16" s="121" t="s">
        <v>148</v>
      </c>
      <c r="D16" s="125">
        <f>SUMIF(BS!A:A,'Chart of Account (Tax Dpt)'!A16,BS!D:D)</f>
        <v>0</v>
      </c>
      <c r="E16" s="126"/>
      <c r="F16" s="140">
        <f t="shared" si="3"/>
        <v>0</v>
      </c>
      <c r="G16" s="140">
        <f t="shared" si="2"/>
        <v>0</v>
      </c>
    </row>
    <row r="17" spans="1:7" x14ac:dyDescent="0.25">
      <c r="A17" s="158" t="s">
        <v>53</v>
      </c>
      <c r="B17" s="121"/>
      <c r="C17" s="121" t="s">
        <v>149</v>
      </c>
      <c r="D17" s="125">
        <f>SUMIF(BS!A:A,'Chart of Account (Tax Dpt)'!A17,BS!D:D)</f>
        <v>0</v>
      </c>
      <c r="E17" s="126"/>
      <c r="F17" s="140">
        <f t="shared" si="3"/>
        <v>0</v>
      </c>
      <c r="G17" s="140">
        <f t="shared" si="2"/>
        <v>0</v>
      </c>
    </row>
    <row r="18" spans="1:7" x14ac:dyDescent="0.25">
      <c r="A18" s="158" t="s">
        <v>54</v>
      </c>
      <c r="B18" s="143" t="s">
        <v>150</v>
      </c>
      <c r="C18" s="121"/>
      <c r="D18" s="123">
        <f>SUM(D19:D31)</f>
        <v>19763.259999999998</v>
      </c>
      <c r="E18" s="126"/>
      <c r="F18" s="182">
        <f t="shared" ref="F18:G18" si="4">SUM(F19:F31)</f>
        <v>79547121.5</v>
      </c>
      <c r="G18" s="140">
        <f t="shared" si="4"/>
        <v>0</v>
      </c>
    </row>
    <row r="19" spans="1:7" x14ac:dyDescent="0.25">
      <c r="A19" s="158" t="s">
        <v>55</v>
      </c>
      <c r="B19" s="121"/>
      <c r="C19" s="121" t="s">
        <v>151</v>
      </c>
      <c r="D19" s="125">
        <f>SUMIF(BS!A:A,'Chart of Account (Tax Dpt)'!A19,BS!D:D)</f>
        <v>0</v>
      </c>
      <c r="E19" s="126"/>
      <c r="F19" s="140">
        <f t="shared" si="3"/>
        <v>0</v>
      </c>
      <c r="G19" s="140">
        <f t="shared" si="2"/>
        <v>0</v>
      </c>
    </row>
    <row r="20" spans="1:7" x14ac:dyDescent="0.25">
      <c r="A20" s="158" t="s">
        <v>56</v>
      </c>
      <c r="B20" s="121"/>
      <c r="C20" s="121" t="s">
        <v>152</v>
      </c>
      <c r="D20" s="125">
        <f>SUMIF(BS!A:A,'Chart of Account (Tax Dpt)'!A20,BS!D:D)</f>
        <v>0</v>
      </c>
      <c r="E20" s="126"/>
      <c r="F20" s="140">
        <f t="shared" si="3"/>
        <v>0</v>
      </c>
      <c r="G20" s="140">
        <f t="shared" si="2"/>
        <v>0</v>
      </c>
    </row>
    <row r="21" spans="1:7" x14ac:dyDescent="0.25">
      <c r="A21" s="158" t="s">
        <v>57</v>
      </c>
      <c r="B21" s="121"/>
      <c r="C21" s="121" t="s">
        <v>153</v>
      </c>
      <c r="D21" s="125">
        <f>SUMIF(BS!A:A,'Chart of Account (Tax Dpt)'!A21,BS!D:D)</f>
        <v>0</v>
      </c>
      <c r="E21" s="126"/>
      <c r="F21" s="140">
        <f t="shared" si="3"/>
        <v>0</v>
      </c>
      <c r="G21" s="140">
        <f t="shared" si="2"/>
        <v>0</v>
      </c>
    </row>
    <row r="22" spans="1:7" x14ac:dyDescent="0.25">
      <c r="A22" s="158" t="s">
        <v>58</v>
      </c>
      <c r="B22" s="121"/>
      <c r="C22" s="121" t="s">
        <v>154</v>
      </c>
      <c r="D22" s="125">
        <f>SUMIF(BS!A:A,'Chart of Account (Tax Dpt)'!A22,BS!D:D)</f>
        <v>0</v>
      </c>
      <c r="E22" s="126"/>
      <c r="F22" s="140">
        <f t="shared" si="3"/>
        <v>0</v>
      </c>
      <c r="G22" s="140">
        <f t="shared" si="2"/>
        <v>0</v>
      </c>
    </row>
    <row r="23" spans="1:7" x14ac:dyDescent="0.25">
      <c r="A23" s="158" t="s">
        <v>59</v>
      </c>
      <c r="B23" s="121"/>
      <c r="C23" s="121" t="s">
        <v>155</v>
      </c>
      <c r="D23" s="125">
        <f>SUMIF(BS!A:A,'Chart of Account (Tax Dpt)'!A23,BS!D:D)</f>
        <v>0</v>
      </c>
      <c r="E23" s="126"/>
      <c r="F23" s="140">
        <f t="shared" si="3"/>
        <v>0</v>
      </c>
      <c r="G23" s="140">
        <f t="shared" si="2"/>
        <v>0</v>
      </c>
    </row>
    <row r="24" spans="1:7" x14ac:dyDescent="0.25">
      <c r="A24" s="158" t="s">
        <v>60</v>
      </c>
      <c r="B24" s="121"/>
      <c r="C24" s="121" t="s">
        <v>156</v>
      </c>
      <c r="D24" s="125">
        <f>SUMIF(BS!A:A,'Chart of Account (Tax Dpt)'!A24,BS!D:D)</f>
        <v>0</v>
      </c>
      <c r="E24" s="126"/>
      <c r="F24" s="140">
        <f t="shared" si="3"/>
        <v>0</v>
      </c>
      <c r="G24" s="140">
        <f t="shared" si="2"/>
        <v>0</v>
      </c>
    </row>
    <row r="25" spans="1:7" x14ac:dyDescent="0.25">
      <c r="A25" s="158" t="s">
        <v>61</v>
      </c>
      <c r="B25" s="121"/>
      <c r="C25" s="121" t="s">
        <v>157</v>
      </c>
      <c r="D25" s="125">
        <f>SUMIF(BS!A:A,'Chart of Account (Tax Dpt)'!A25,BS!D:D)</f>
        <v>2700</v>
      </c>
      <c r="E25" s="126"/>
      <c r="F25" s="140">
        <f t="shared" si="3"/>
        <v>10867500</v>
      </c>
      <c r="G25" s="140">
        <f t="shared" si="2"/>
        <v>0</v>
      </c>
    </row>
    <row r="26" spans="1:7" x14ac:dyDescent="0.25">
      <c r="A26" s="158" t="s">
        <v>62</v>
      </c>
      <c r="B26" s="121"/>
      <c r="C26" s="121" t="s">
        <v>616</v>
      </c>
      <c r="D26" s="125">
        <f>SUMIF(BS!A:A,'Chart of Account (Tax Dpt)'!A26,BS!D:D)</f>
        <v>93.09</v>
      </c>
      <c r="E26" s="126"/>
      <c r="F26" s="140">
        <f t="shared" si="3"/>
        <v>374687.25</v>
      </c>
      <c r="G26" s="140">
        <f t="shared" si="2"/>
        <v>0</v>
      </c>
    </row>
    <row r="27" spans="1:7" x14ac:dyDescent="0.25">
      <c r="A27" s="158" t="s">
        <v>63</v>
      </c>
      <c r="B27" s="121"/>
      <c r="C27" s="121" t="s">
        <v>619</v>
      </c>
      <c r="D27" s="125">
        <f>SUMIF(BS!A:A,'Chart of Account (Tax Dpt)'!A27,BS!D:D)</f>
        <v>16970.169999999998</v>
      </c>
      <c r="E27" s="126"/>
      <c r="F27" s="140">
        <f t="shared" ref="F27" si="5">D27*E$2</f>
        <v>68304934.25</v>
      </c>
      <c r="G27" s="140">
        <f t="shared" ref="G27" si="6">E27*E$2</f>
        <v>0</v>
      </c>
    </row>
    <row r="28" spans="1:7" x14ac:dyDescent="0.25">
      <c r="A28" s="158" t="s">
        <v>64</v>
      </c>
      <c r="B28" s="121"/>
      <c r="C28" s="121" t="s">
        <v>159</v>
      </c>
      <c r="D28" s="125">
        <f>SUMIF(BS!A:A,'Chart of Account (Tax Dpt)'!A28,BS!D:D)</f>
        <v>0</v>
      </c>
      <c r="E28" s="126"/>
      <c r="F28" s="140">
        <f t="shared" si="3"/>
        <v>0</v>
      </c>
      <c r="G28" s="140">
        <f t="shared" si="2"/>
        <v>0</v>
      </c>
    </row>
    <row r="29" spans="1:7" x14ac:dyDescent="0.25">
      <c r="A29" s="158" t="s">
        <v>65</v>
      </c>
      <c r="B29" s="121"/>
      <c r="C29" s="121" t="s">
        <v>160</v>
      </c>
      <c r="D29" s="125">
        <f>SUMIF(BS!A:A,'Chart of Account (Tax Dpt)'!A29,BS!D:D)</f>
        <v>0</v>
      </c>
      <c r="E29" s="126"/>
      <c r="F29" s="140">
        <f t="shared" si="3"/>
        <v>0</v>
      </c>
      <c r="G29" s="140">
        <f t="shared" si="2"/>
        <v>0</v>
      </c>
    </row>
    <row r="30" spans="1:7" x14ac:dyDescent="0.25">
      <c r="A30" s="158" t="s">
        <v>66</v>
      </c>
      <c r="B30" s="121"/>
      <c r="C30" s="121" t="s">
        <v>161</v>
      </c>
      <c r="D30" s="125">
        <f>SUMIF(BS!A:A,'Chart of Account (Tax Dpt)'!A30,BS!D:D)</f>
        <v>0</v>
      </c>
      <c r="E30" s="126"/>
      <c r="F30" s="140">
        <f t="shared" si="3"/>
        <v>0</v>
      </c>
      <c r="G30" s="140">
        <f t="shared" si="2"/>
        <v>0</v>
      </c>
    </row>
    <row r="31" spans="1:7" x14ac:dyDescent="0.25">
      <c r="A31" s="158" t="s">
        <v>67</v>
      </c>
      <c r="B31" s="121"/>
      <c r="C31" s="121" t="s">
        <v>162</v>
      </c>
      <c r="D31" s="125">
        <f>SUMIF(BS!A:A,'Chart of Account (Tax Dpt)'!A31,BS!D:D)</f>
        <v>0</v>
      </c>
      <c r="E31" s="126"/>
      <c r="F31" s="140">
        <f t="shared" si="3"/>
        <v>0</v>
      </c>
      <c r="G31" s="140">
        <f t="shared" si="2"/>
        <v>0</v>
      </c>
    </row>
    <row r="32" spans="1:7" x14ac:dyDescent="0.25">
      <c r="A32" s="158" t="s">
        <v>68</v>
      </c>
      <c r="B32" s="121"/>
      <c r="C32" s="121" t="s">
        <v>163</v>
      </c>
      <c r="D32" s="125">
        <f>SUMIF(BS!A:A,'Chart of Account (Tax Dpt)'!A32,BS!D:D)</f>
        <v>0</v>
      </c>
      <c r="E32" s="124"/>
      <c r="F32" s="140">
        <f t="shared" si="3"/>
        <v>0</v>
      </c>
      <c r="G32" s="140">
        <f t="shared" si="2"/>
        <v>0</v>
      </c>
    </row>
    <row r="33" spans="1:7" x14ac:dyDescent="0.25">
      <c r="A33" s="158" t="s">
        <v>69</v>
      </c>
      <c r="B33" s="143" t="s">
        <v>622</v>
      </c>
      <c r="C33" s="121"/>
      <c r="D33" s="146">
        <f>+D34+D42+D47</f>
        <v>19763.259999999973</v>
      </c>
      <c r="E33" s="124"/>
      <c r="F33" s="164">
        <f t="shared" ref="F33:G33" si="7">F34+F42+F47</f>
        <v>79547121.499999881</v>
      </c>
      <c r="G33" s="140">
        <f t="shared" si="7"/>
        <v>0</v>
      </c>
    </row>
    <row r="34" spans="1:7" x14ac:dyDescent="0.25">
      <c r="A34" s="158" t="s">
        <v>70</v>
      </c>
      <c r="B34" s="143" t="s">
        <v>621</v>
      </c>
      <c r="C34" s="121"/>
      <c r="D34" s="127">
        <f>SUM(D35:D41)</f>
        <v>14836.359999999971</v>
      </c>
      <c r="E34" s="124"/>
      <c r="F34" s="183">
        <f t="shared" si="3"/>
        <v>59716348.999999888</v>
      </c>
      <c r="G34" s="140">
        <f t="shared" si="2"/>
        <v>0</v>
      </c>
    </row>
    <row r="35" spans="1:7" x14ac:dyDescent="0.25">
      <c r="A35" s="158" t="s">
        <v>71</v>
      </c>
      <c r="B35" s="121"/>
      <c r="C35" s="121" t="s">
        <v>166</v>
      </c>
      <c r="D35" s="125">
        <f>SUMIF(BS!A:A,'Chart of Account (Tax Dpt)'!A35,BS!D:D)</f>
        <v>0</v>
      </c>
      <c r="E35" s="124"/>
      <c r="F35" s="140">
        <f t="shared" si="3"/>
        <v>0</v>
      </c>
      <c r="G35" s="140">
        <f t="shared" si="2"/>
        <v>0</v>
      </c>
    </row>
    <row r="36" spans="1:7" x14ac:dyDescent="0.25">
      <c r="A36" s="158" t="s">
        <v>72</v>
      </c>
      <c r="B36" s="121"/>
      <c r="C36" s="121" t="s">
        <v>167</v>
      </c>
      <c r="D36" s="125">
        <f>SUMIF(BS!A:A,'Chart of Account (Tax Dpt)'!A36,BS!D:D)</f>
        <v>0</v>
      </c>
      <c r="E36" s="124"/>
      <c r="F36" s="140">
        <f t="shared" si="3"/>
        <v>0</v>
      </c>
      <c r="G36" s="140">
        <f t="shared" si="2"/>
        <v>0</v>
      </c>
    </row>
    <row r="37" spans="1:7" x14ac:dyDescent="0.25">
      <c r="A37" s="158" t="s">
        <v>73</v>
      </c>
      <c r="B37" s="121"/>
      <c r="C37" s="121" t="s">
        <v>168</v>
      </c>
      <c r="D37" s="125">
        <f>SUMIF(BS!A:A,'Chart of Account (Tax Dpt)'!A37,BS!D:D)</f>
        <v>0</v>
      </c>
      <c r="E37" s="124"/>
      <c r="F37" s="140">
        <f t="shared" si="3"/>
        <v>0</v>
      </c>
      <c r="G37" s="140">
        <f t="shared" si="2"/>
        <v>0</v>
      </c>
    </row>
    <row r="38" spans="1:7" x14ac:dyDescent="0.25">
      <c r="A38" s="158" t="s">
        <v>74</v>
      </c>
      <c r="B38" s="121"/>
      <c r="C38" s="121" t="s">
        <v>169</v>
      </c>
      <c r="D38" s="125">
        <f>SUMIF(BS!A:A,'Chart of Account (Tax Dpt)'!A38,BS!D:D)</f>
        <v>0</v>
      </c>
      <c r="E38" s="124"/>
      <c r="F38" s="140">
        <f t="shared" si="3"/>
        <v>0</v>
      </c>
      <c r="G38" s="140">
        <f t="shared" si="2"/>
        <v>0</v>
      </c>
    </row>
    <row r="39" spans="1:7" x14ac:dyDescent="0.25">
      <c r="A39" s="158" t="s">
        <v>75</v>
      </c>
      <c r="B39" s="121"/>
      <c r="C39" s="121" t="s">
        <v>170</v>
      </c>
      <c r="D39" s="125">
        <f>SUMIF(BS!A:A,'Chart of Account (Tax Dpt)'!A39,BS!D:D)</f>
        <v>0</v>
      </c>
      <c r="E39" s="124"/>
      <c r="F39" s="140">
        <f t="shared" si="3"/>
        <v>0</v>
      </c>
      <c r="G39" s="140">
        <f t="shared" si="2"/>
        <v>0</v>
      </c>
    </row>
    <row r="40" spans="1:7" x14ac:dyDescent="0.25">
      <c r="A40" s="158" t="s">
        <v>76</v>
      </c>
      <c r="B40" s="121"/>
      <c r="C40" s="121" t="s">
        <v>171</v>
      </c>
      <c r="D40" s="125">
        <f>SUMIF(BS!A:A,'Chart of Account (Tax Dpt)'!A40,BS!D:D)</f>
        <v>35738.449999999997</v>
      </c>
      <c r="E40" s="124"/>
      <c r="F40" s="140">
        <f t="shared" si="3"/>
        <v>143847261.25</v>
      </c>
      <c r="G40" s="140">
        <f t="shared" si="2"/>
        <v>0</v>
      </c>
    </row>
    <row r="41" spans="1:7" x14ac:dyDescent="0.25">
      <c r="A41" s="158" t="s">
        <v>77</v>
      </c>
      <c r="B41" s="121"/>
      <c r="C41" s="121" t="s">
        <v>172</v>
      </c>
      <c r="D41" s="125">
        <f>SUMIF(BS!A:A,'Chart of Account (Tax Dpt)'!A41,BS!D:D)</f>
        <v>-20902.090000000026</v>
      </c>
      <c r="E41" s="124"/>
      <c r="F41" s="140">
        <f t="shared" si="3"/>
        <v>-84130912.250000104</v>
      </c>
      <c r="G41" s="140">
        <f t="shared" si="2"/>
        <v>0</v>
      </c>
    </row>
    <row r="42" spans="1:7" x14ac:dyDescent="0.25">
      <c r="A42" s="158" t="s">
        <v>78</v>
      </c>
      <c r="B42" s="143" t="s">
        <v>623</v>
      </c>
      <c r="C42" s="121"/>
      <c r="D42" s="127">
        <f>SUM(D43:D46)</f>
        <v>0</v>
      </c>
      <c r="E42" s="124"/>
      <c r="F42" s="183">
        <f t="shared" si="3"/>
        <v>0</v>
      </c>
      <c r="G42" s="140">
        <f t="shared" si="2"/>
        <v>0</v>
      </c>
    </row>
    <row r="43" spans="1:7" x14ac:dyDescent="0.25">
      <c r="A43" s="158" t="s">
        <v>79</v>
      </c>
      <c r="B43" s="121"/>
      <c r="C43" s="121" t="s">
        <v>174</v>
      </c>
      <c r="D43" s="125">
        <f>SUMIF(BS!A:A,'Chart of Account (Tax Dpt)'!A43,BS!D:D)</f>
        <v>0</v>
      </c>
      <c r="E43" s="124"/>
      <c r="F43" s="140">
        <f t="shared" si="3"/>
        <v>0</v>
      </c>
      <c r="G43" s="140">
        <f t="shared" si="2"/>
        <v>0</v>
      </c>
    </row>
    <row r="44" spans="1:7" x14ac:dyDescent="0.25">
      <c r="A44" s="158" t="s">
        <v>80</v>
      </c>
      <c r="B44" s="121"/>
      <c r="C44" s="121" t="s">
        <v>175</v>
      </c>
      <c r="D44" s="125">
        <f>SUMIF(BS!A:A,'Chart of Account (Tax Dpt)'!A44,BS!D:D)</f>
        <v>0</v>
      </c>
      <c r="E44" s="124"/>
      <c r="F44" s="140">
        <f t="shared" si="3"/>
        <v>0</v>
      </c>
      <c r="G44" s="140">
        <f t="shared" si="2"/>
        <v>0</v>
      </c>
    </row>
    <row r="45" spans="1:7" x14ac:dyDescent="0.25">
      <c r="A45" s="158" t="s">
        <v>81</v>
      </c>
      <c r="B45" s="121"/>
      <c r="C45" s="121" t="s">
        <v>176</v>
      </c>
      <c r="D45" s="125">
        <f>SUMIF(BS!A:A,'Chart of Account (Tax Dpt)'!A45,BS!D:D)</f>
        <v>0</v>
      </c>
      <c r="E45" s="124"/>
      <c r="F45" s="140">
        <f t="shared" si="3"/>
        <v>0</v>
      </c>
      <c r="G45" s="140">
        <f t="shared" si="2"/>
        <v>0</v>
      </c>
    </row>
    <row r="46" spans="1:7" x14ac:dyDescent="0.25">
      <c r="A46" s="158" t="s">
        <v>82</v>
      </c>
      <c r="B46" s="121"/>
      <c r="C46" s="121" t="s">
        <v>177</v>
      </c>
      <c r="D46" s="125">
        <f>SUMIF(BS!A:A,'Chart of Account (Tax Dpt)'!A46,BS!D:D)</f>
        <v>0</v>
      </c>
      <c r="E46" s="124"/>
      <c r="F46" s="140">
        <f t="shared" si="3"/>
        <v>0</v>
      </c>
      <c r="G46" s="140">
        <f t="shared" si="2"/>
        <v>0</v>
      </c>
    </row>
    <row r="47" spans="1:7" x14ac:dyDescent="0.25">
      <c r="A47" s="158" t="s">
        <v>83</v>
      </c>
      <c r="B47" s="143" t="s">
        <v>624</v>
      </c>
      <c r="C47" s="121"/>
      <c r="D47" s="127">
        <f>SUM(D48:D57)</f>
        <v>4926.8999999999996</v>
      </c>
      <c r="E47" s="124"/>
      <c r="F47" s="183">
        <f t="shared" si="3"/>
        <v>19830772.5</v>
      </c>
      <c r="G47" s="140">
        <f t="shared" si="2"/>
        <v>0</v>
      </c>
    </row>
    <row r="48" spans="1:7" x14ac:dyDescent="0.25">
      <c r="A48" s="158" t="s">
        <v>84</v>
      </c>
      <c r="B48" s="121"/>
      <c r="C48" s="121" t="s">
        <v>179</v>
      </c>
      <c r="D48" s="125">
        <f>SUMIF(BS!A:A,'Chart of Account (Tax Dpt)'!A48,BS!D:D)</f>
        <v>0</v>
      </c>
      <c r="E48" s="124"/>
      <c r="F48" s="140">
        <f t="shared" si="3"/>
        <v>0</v>
      </c>
      <c r="G48" s="140">
        <f t="shared" si="2"/>
        <v>0</v>
      </c>
    </row>
    <row r="49" spans="1:7" x14ac:dyDescent="0.25">
      <c r="A49" s="158" t="s">
        <v>85</v>
      </c>
      <c r="B49" s="121"/>
      <c r="C49" s="121" t="s">
        <v>180</v>
      </c>
      <c r="D49" s="125">
        <f>SUMIF(BS!A:A,'Chart of Account (Tax Dpt)'!A49,BS!D:D)</f>
        <v>0</v>
      </c>
      <c r="E49" s="124"/>
      <c r="F49" s="140">
        <f t="shared" si="3"/>
        <v>0</v>
      </c>
      <c r="G49" s="140">
        <f t="shared" si="2"/>
        <v>0</v>
      </c>
    </row>
    <row r="50" spans="1:7" x14ac:dyDescent="0.25">
      <c r="A50" s="158" t="s">
        <v>86</v>
      </c>
      <c r="B50" s="121"/>
      <c r="C50" s="121" t="s">
        <v>181</v>
      </c>
      <c r="D50" s="125">
        <f>SUMIF(BS!A:A,'Chart of Account (Tax Dpt)'!A50,BS!D:D)</f>
        <v>0</v>
      </c>
      <c r="E50" s="124"/>
      <c r="F50" s="140">
        <f t="shared" si="3"/>
        <v>0</v>
      </c>
      <c r="G50" s="140">
        <f t="shared" si="2"/>
        <v>0</v>
      </c>
    </row>
    <row r="51" spans="1:7" x14ac:dyDescent="0.25">
      <c r="A51" s="158" t="s">
        <v>87</v>
      </c>
      <c r="B51" s="121"/>
      <c r="C51" s="121" t="s">
        <v>182</v>
      </c>
      <c r="D51" s="125">
        <f>SUMIF(BS!A:A,'Chart of Account (Tax Dpt)'!A51,BS!D:D)</f>
        <v>2715.53</v>
      </c>
      <c r="E51" s="124"/>
      <c r="F51" s="140">
        <f t="shared" si="3"/>
        <v>10930008.25</v>
      </c>
      <c r="G51" s="140">
        <f t="shared" si="2"/>
        <v>0</v>
      </c>
    </row>
    <row r="52" spans="1:7" x14ac:dyDescent="0.25">
      <c r="A52" s="158" t="s">
        <v>88</v>
      </c>
      <c r="B52" s="121"/>
      <c r="C52" s="121" t="s">
        <v>625</v>
      </c>
      <c r="D52" s="125">
        <f>SUMIF(BS!A:A,'Chart of Account (Tax Dpt)'!A52,BS!D:D)</f>
        <v>0</v>
      </c>
      <c r="E52" s="124"/>
      <c r="F52" s="140">
        <f t="shared" ref="F52" si="8">D52*E$2</f>
        <v>0</v>
      </c>
      <c r="G52" s="140">
        <f t="shared" ref="G52" si="9">E52*E$2</f>
        <v>0</v>
      </c>
    </row>
    <row r="53" spans="1:7" x14ac:dyDescent="0.25">
      <c r="A53" s="158" t="s">
        <v>89</v>
      </c>
      <c r="B53" s="121"/>
      <c r="C53" s="121" t="s">
        <v>620</v>
      </c>
      <c r="D53" s="125">
        <f>SUMIF(BS!A:A,'Chart of Account (Tax Dpt)'!A53,BS!D:D)</f>
        <v>0</v>
      </c>
      <c r="E53" s="124"/>
      <c r="F53" s="140">
        <f t="shared" si="3"/>
        <v>0</v>
      </c>
      <c r="G53" s="140">
        <f t="shared" si="2"/>
        <v>0</v>
      </c>
    </row>
    <row r="54" spans="1:7" x14ac:dyDescent="0.25">
      <c r="A54" s="158" t="s">
        <v>90</v>
      </c>
      <c r="B54" s="121"/>
      <c r="C54" s="121" t="s">
        <v>176</v>
      </c>
      <c r="D54" s="125">
        <f>SUMIF(BS!A:A,'Chart of Account (Tax Dpt)'!A54,BS!D:D)</f>
        <v>0</v>
      </c>
      <c r="E54" s="124"/>
      <c r="F54" s="140">
        <f t="shared" si="3"/>
        <v>0</v>
      </c>
      <c r="G54" s="140">
        <f t="shared" si="2"/>
        <v>0</v>
      </c>
    </row>
    <row r="55" spans="1:7" x14ac:dyDescent="0.25">
      <c r="A55" s="158" t="s">
        <v>91</v>
      </c>
      <c r="B55" s="121"/>
      <c r="C55" s="121" t="s">
        <v>16</v>
      </c>
      <c r="D55" s="125">
        <f>SUMIF(BS!A:A,'Chart of Account (Tax Dpt)'!A55,BS!D:D)</f>
        <v>0</v>
      </c>
      <c r="E55" s="124"/>
      <c r="F55" s="140">
        <f t="shared" si="3"/>
        <v>0</v>
      </c>
      <c r="G55" s="140">
        <f t="shared" si="2"/>
        <v>0</v>
      </c>
    </row>
    <row r="56" spans="1:7" x14ac:dyDescent="0.25">
      <c r="A56" s="158" t="s">
        <v>617</v>
      </c>
      <c r="B56" s="121"/>
      <c r="C56" s="121" t="s">
        <v>184</v>
      </c>
      <c r="D56" s="125">
        <f>SUMIF(BS!A:A,'Chart of Account (Tax Dpt)'!A56,BS!D:D)</f>
        <v>2211.37</v>
      </c>
      <c r="E56" s="124"/>
      <c r="F56" s="140">
        <f t="shared" si="3"/>
        <v>8900764.25</v>
      </c>
      <c r="G56" s="140">
        <f t="shared" si="2"/>
        <v>0</v>
      </c>
    </row>
    <row r="57" spans="1:7" ht="15.75" thickBot="1" x14ac:dyDescent="0.3">
      <c r="A57" s="170" t="s">
        <v>618</v>
      </c>
      <c r="B57" s="171"/>
      <c r="C57" s="171" t="s">
        <v>185</v>
      </c>
      <c r="D57" s="172">
        <f>SUMIF(BS!A:A,'Chart of Account (Tax Dpt)'!A57,BS!D:D)</f>
        <v>0</v>
      </c>
      <c r="E57" s="173"/>
      <c r="F57" s="174">
        <f t="shared" si="3"/>
        <v>0</v>
      </c>
      <c r="G57" s="174">
        <f t="shared" si="2"/>
        <v>0</v>
      </c>
    </row>
    <row r="58" spans="1:7" ht="6.75" customHeight="1" thickBot="1" x14ac:dyDescent="0.3">
      <c r="A58" s="184"/>
      <c r="B58" s="185"/>
      <c r="C58" s="185"/>
      <c r="D58" s="186"/>
      <c r="E58" s="187"/>
      <c r="F58" s="188"/>
      <c r="G58" s="188"/>
    </row>
    <row r="59" spans="1:7" x14ac:dyDescent="0.25">
      <c r="A59" s="165" t="s">
        <v>92</v>
      </c>
      <c r="B59" s="166" t="s">
        <v>186</v>
      </c>
      <c r="C59" s="120"/>
      <c r="D59" s="167"/>
      <c r="E59" s="168">
        <f>SUM(E60:E62)</f>
        <v>0</v>
      </c>
      <c r="F59" s="169">
        <f t="shared" si="3"/>
        <v>0</v>
      </c>
      <c r="G59" s="169">
        <f t="shared" si="2"/>
        <v>0</v>
      </c>
    </row>
    <row r="60" spans="1:7" x14ac:dyDescent="0.25">
      <c r="A60" s="158" t="s">
        <v>93</v>
      </c>
      <c r="B60" s="121"/>
      <c r="C60" s="121" t="s">
        <v>187</v>
      </c>
      <c r="D60" s="118"/>
      <c r="E60" s="126">
        <f>SUMIF('P&amp;L'!A:A,'Chart of Account (Tax Dpt)'!A60,'P&amp;L'!D:D)</f>
        <v>0</v>
      </c>
      <c r="F60" s="140">
        <f t="shared" si="3"/>
        <v>0</v>
      </c>
      <c r="G60" s="140">
        <f t="shared" si="2"/>
        <v>0</v>
      </c>
    </row>
    <row r="61" spans="1:7" x14ac:dyDescent="0.25">
      <c r="A61" s="158" t="s">
        <v>94</v>
      </c>
      <c r="B61" s="121"/>
      <c r="C61" s="121" t="s">
        <v>188</v>
      </c>
      <c r="D61" s="118"/>
      <c r="E61" s="126">
        <f>SUMIF('P&amp;L'!A:A,'Chart of Account (Tax Dpt)'!A61,'P&amp;L'!D:D)</f>
        <v>0</v>
      </c>
      <c r="F61" s="140">
        <f t="shared" si="3"/>
        <v>0</v>
      </c>
      <c r="G61" s="140">
        <f t="shared" si="2"/>
        <v>0</v>
      </c>
    </row>
    <row r="62" spans="1:7" x14ac:dyDescent="0.25">
      <c r="A62" s="158" t="s">
        <v>95</v>
      </c>
      <c r="B62" s="121"/>
      <c r="C62" s="121" t="s">
        <v>189</v>
      </c>
      <c r="D62" s="118"/>
      <c r="E62" s="126">
        <f>SUMIF('P&amp;L'!A:A,'Chart of Account (Tax Dpt)'!A62,'P&amp;L'!D:D)</f>
        <v>0</v>
      </c>
      <c r="F62" s="140">
        <f t="shared" si="3"/>
        <v>0</v>
      </c>
      <c r="G62" s="140">
        <f t="shared" si="2"/>
        <v>0</v>
      </c>
    </row>
    <row r="63" spans="1:7" x14ac:dyDescent="0.25">
      <c r="A63" s="158" t="s">
        <v>96</v>
      </c>
      <c r="B63" s="121"/>
      <c r="C63" s="121" t="s">
        <v>190</v>
      </c>
      <c r="D63" s="118"/>
      <c r="E63" s="126">
        <f>SUMIF('P&amp;L'!A:A,'Chart of Account (Tax Dpt)'!A63,'P&amp;L'!D:D)</f>
        <v>0</v>
      </c>
      <c r="F63" s="140">
        <f t="shared" si="3"/>
        <v>0</v>
      </c>
      <c r="G63" s="140">
        <f t="shared" si="2"/>
        <v>0</v>
      </c>
    </row>
    <row r="64" spans="1:7" x14ac:dyDescent="0.25">
      <c r="A64" s="158" t="s">
        <v>97</v>
      </c>
      <c r="B64" s="121"/>
      <c r="C64" s="121" t="s">
        <v>191</v>
      </c>
      <c r="D64" s="118"/>
      <c r="E64" s="126">
        <f>SUMIF('P&amp;L'!A:A,'Chart of Account (Tax Dpt)'!A64,'P&amp;L'!D:D)</f>
        <v>0</v>
      </c>
      <c r="F64" s="140">
        <f t="shared" si="3"/>
        <v>0</v>
      </c>
      <c r="G64" s="140">
        <f t="shared" si="2"/>
        <v>0</v>
      </c>
    </row>
    <row r="65" spans="1:7" x14ac:dyDescent="0.25">
      <c r="A65" s="158" t="s">
        <v>99</v>
      </c>
      <c r="B65" s="121"/>
      <c r="C65" s="121" t="s">
        <v>192</v>
      </c>
      <c r="D65" s="118"/>
      <c r="E65" s="126">
        <f>SUMIF('P&amp;L'!A:A,'Chart of Account (Tax Dpt)'!A65,'P&amp;L'!D:D)</f>
        <v>0</v>
      </c>
      <c r="F65" s="140">
        <f t="shared" si="3"/>
        <v>0</v>
      </c>
      <c r="G65" s="140">
        <f t="shared" si="2"/>
        <v>0</v>
      </c>
    </row>
    <row r="66" spans="1:7" x14ac:dyDescent="0.25">
      <c r="A66" s="159" t="s">
        <v>100</v>
      </c>
      <c r="B66" s="143" t="s">
        <v>643</v>
      </c>
      <c r="C66" s="121"/>
      <c r="D66" s="118"/>
      <c r="E66" s="147">
        <f>E59-E63-E64-E65</f>
        <v>0</v>
      </c>
      <c r="F66" s="140">
        <f t="shared" si="3"/>
        <v>0</v>
      </c>
      <c r="G66" s="140">
        <f t="shared" si="2"/>
        <v>0</v>
      </c>
    </row>
    <row r="67" spans="1:7" x14ac:dyDescent="0.25">
      <c r="A67" s="159" t="s">
        <v>101</v>
      </c>
      <c r="B67" s="143" t="s">
        <v>627</v>
      </c>
      <c r="C67" s="121"/>
      <c r="D67" s="118"/>
      <c r="E67" s="145">
        <f>SUM(E68:E70)</f>
        <v>0</v>
      </c>
      <c r="F67" s="140">
        <f t="shared" si="3"/>
        <v>0</v>
      </c>
      <c r="G67" s="140">
        <f t="shared" si="2"/>
        <v>0</v>
      </c>
    </row>
    <row r="68" spans="1:7" x14ac:dyDescent="0.25">
      <c r="A68" s="158" t="s">
        <v>102</v>
      </c>
      <c r="B68" s="143"/>
      <c r="C68" s="121" t="s">
        <v>634</v>
      </c>
      <c r="D68" s="118"/>
      <c r="E68" s="126">
        <f>SUMIF('P&amp;L'!A:A,'Chart of Account (Tax Dpt)'!A68,'P&amp;L'!D:D)</f>
        <v>0</v>
      </c>
      <c r="F68" s="140">
        <f t="shared" ref="F68:F71" si="10">D68*E$2</f>
        <v>0</v>
      </c>
      <c r="G68" s="140">
        <f t="shared" ref="G68:G70" si="11">E68*E$2</f>
        <v>0</v>
      </c>
    </row>
    <row r="69" spans="1:7" x14ac:dyDescent="0.25">
      <c r="A69" s="158" t="s">
        <v>103</v>
      </c>
      <c r="B69" s="143"/>
      <c r="C69" s="121" t="s">
        <v>637</v>
      </c>
      <c r="D69" s="118"/>
      <c r="E69" s="126">
        <f>SUMIF('P&amp;L'!A:A,'Chart of Account (Tax Dpt)'!A69,'P&amp;L'!D:D)</f>
        <v>0</v>
      </c>
      <c r="F69" s="140">
        <f t="shared" si="10"/>
        <v>0</v>
      </c>
      <c r="G69" s="140">
        <f t="shared" si="11"/>
        <v>0</v>
      </c>
    </row>
    <row r="70" spans="1:7" x14ac:dyDescent="0.25">
      <c r="A70" s="158" t="s">
        <v>104</v>
      </c>
      <c r="B70" s="143"/>
      <c r="C70" s="121" t="s">
        <v>626</v>
      </c>
      <c r="D70" s="118"/>
      <c r="E70" s="126">
        <f>SUMIF('P&amp;L'!A:A,'Chart of Account (Tax Dpt)'!A70,'P&amp;L'!D:D)</f>
        <v>0</v>
      </c>
      <c r="F70" s="140">
        <f t="shared" si="10"/>
        <v>0</v>
      </c>
      <c r="G70" s="140">
        <f t="shared" si="11"/>
        <v>0</v>
      </c>
    </row>
    <row r="71" spans="1:7" x14ac:dyDescent="0.25">
      <c r="A71" s="159" t="s">
        <v>105</v>
      </c>
      <c r="B71" s="143" t="s">
        <v>628</v>
      </c>
      <c r="C71" s="121"/>
      <c r="D71" s="118"/>
      <c r="E71" s="148">
        <f>SUM(E72:E80)</f>
        <v>245400.68</v>
      </c>
      <c r="F71" s="140">
        <f t="shared" si="10"/>
        <v>0</v>
      </c>
      <c r="G71" s="148">
        <f>SUM(G72:G80)</f>
        <v>987737737</v>
      </c>
    </row>
    <row r="72" spans="1:7" x14ac:dyDescent="0.25">
      <c r="A72" s="158" t="s">
        <v>106</v>
      </c>
      <c r="B72" s="121"/>
      <c r="C72" s="121" t="s">
        <v>629</v>
      </c>
      <c r="D72" s="118"/>
      <c r="E72" s="126">
        <f>SUMIF('P&amp;L'!A:A,'Chart of Account (Tax Dpt)'!A72,'P&amp;L'!D:D)</f>
        <v>245314</v>
      </c>
      <c r="F72" s="140">
        <f t="shared" si="3"/>
        <v>0</v>
      </c>
      <c r="G72" s="140">
        <f t="shared" si="2"/>
        <v>987388850</v>
      </c>
    </row>
    <row r="73" spans="1:7" x14ac:dyDescent="0.25">
      <c r="A73" s="158" t="s">
        <v>107</v>
      </c>
      <c r="B73" s="121"/>
      <c r="C73" s="121" t="s">
        <v>196</v>
      </c>
      <c r="D73" s="118"/>
      <c r="E73" s="126">
        <f>SUMIF('P&amp;L'!A:A,'Chart of Account (Tax Dpt)'!A73,'P&amp;L'!D:D)</f>
        <v>0</v>
      </c>
      <c r="F73" s="140">
        <f t="shared" si="3"/>
        <v>0</v>
      </c>
      <c r="G73" s="140">
        <f t="shared" si="2"/>
        <v>0</v>
      </c>
    </row>
    <row r="74" spans="1:7" x14ac:dyDescent="0.25">
      <c r="A74" s="158" t="s">
        <v>108</v>
      </c>
      <c r="B74" s="121"/>
      <c r="C74" s="121" t="s">
        <v>197</v>
      </c>
      <c r="D74" s="118"/>
      <c r="E74" s="126">
        <f>SUMIF('P&amp;L'!A:A,'Chart of Account (Tax Dpt)'!A74,'P&amp;L'!D:D)</f>
        <v>86.68</v>
      </c>
      <c r="F74" s="140">
        <f t="shared" si="3"/>
        <v>0</v>
      </c>
      <c r="G74" s="140">
        <f t="shared" si="2"/>
        <v>348887</v>
      </c>
    </row>
    <row r="75" spans="1:7" x14ac:dyDescent="0.25">
      <c r="A75" s="158" t="s">
        <v>109</v>
      </c>
      <c r="B75" s="121"/>
      <c r="C75" s="121" t="s">
        <v>638</v>
      </c>
      <c r="D75" s="118"/>
      <c r="E75" s="126">
        <f>SUMIF('P&amp;L'!A:A,'Chart of Account (Tax Dpt)'!A75,'P&amp;L'!D:D)</f>
        <v>0</v>
      </c>
      <c r="F75" s="140">
        <f t="shared" si="3"/>
        <v>0</v>
      </c>
      <c r="G75" s="140">
        <f t="shared" si="2"/>
        <v>0</v>
      </c>
    </row>
    <row r="76" spans="1:7" x14ac:dyDescent="0.25">
      <c r="A76" s="158" t="s">
        <v>110</v>
      </c>
      <c r="B76" s="121"/>
      <c r="C76" s="121" t="s">
        <v>635</v>
      </c>
      <c r="D76" s="118"/>
      <c r="E76" s="126">
        <f>SUMIF('P&amp;L'!A:A,'Chart of Account (Tax Dpt)'!A76,'P&amp;L'!D:D)</f>
        <v>0</v>
      </c>
      <c r="F76" s="140">
        <f t="shared" si="3"/>
        <v>0</v>
      </c>
      <c r="G76" s="140">
        <f t="shared" si="2"/>
        <v>0</v>
      </c>
    </row>
    <row r="77" spans="1:7" x14ac:dyDescent="0.25">
      <c r="A77" s="158" t="s">
        <v>111</v>
      </c>
      <c r="B77" s="121"/>
      <c r="C77" s="121" t="s">
        <v>202</v>
      </c>
      <c r="D77" s="118"/>
      <c r="E77" s="126">
        <f>SUMIF('P&amp;L'!A:A,'Chart of Account (Tax Dpt)'!A77,'P&amp;L'!D:D)</f>
        <v>0</v>
      </c>
      <c r="F77" s="140">
        <f t="shared" si="3"/>
        <v>0</v>
      </c>
      <c r="G77" s="140">
        <f t="shared" si="2"/>
        <v>0</v>
      </c>
    </row>
    <row r="78" spans="1:7" x14ac:dyDescent="0.25">
      <c r="A78" s="158" t="s">
        <v>112</v>
      </c>
      <c r="B78" s="121"/>
      <c r="C78" s="121" t="s">
        <v>203</v>
      </c>
      <c r="D78" s="118"/>
      <c r="E78" s="126">
        <f>SUMIF('P&amp;L'!A:A,'Chart of Account (Tax Dpt)'!A78,'P&amp;L'!D:D)</f>
        <v>0</v>
      </c>
      <c r="F78" s="140">
        <f t="shared" ref="F78:F107" si="12">D78*E$2</f>
        <v>0</v>
      </c>
      <c r="G78" s="140">
        <f t="shared" ref="G78:G107" si="13">E78*E$2</f>
        <v>0</v>
      </c>
    </row>
    <row r="79" spans="1:7" x14ac:dyDescent="0.25">
      <c r="A79" s="158" t="s">
        <v>113</v>
      </c>
      <c r="B79" s="121"/>
      <c r="C79" s="121" t="s">
        <v>204</v>
      </c>
      <c r="D79" s="118"/>
      <c r="E79" s="126">
        <f>SUMIF('P&amp;L'!A:A,'Chart of Account (Tax Dpt)'!A79,'P&amp;L'!D:D)</f>
        <v>0</v>
      </c>
      <c r="F79" s="140">
        <f t="shared" si="12"/>
        <v>0</v>
      </c>
      <c r="G79" s="140">
        <f t="shared" si="13"/>
        <v>0</v>
      </c>
    </row>
    <row r="80" spans="1:7" x14ac:dyDescent="0.25">
      <c r="A80" s="158" t="s">
        <v>114</v>
      </c>
      <c r="B80" s="121"/>
      <c r="C80" s="121" t="s">
        <v>205</v>
      </c>
      <c r="D80" s="118"/>
      <c r="E80" s="126">
        <f>SUMIF('P&amp;L'!A:A,'Chart of Account (Tax Dpt)'!A80,'P&amp;L'!D:D)</f>
        <v>0</v>
      </c>
      <c r="F80" s="140">
        <f t="shared" si="12"/>
        <v>0</v>
      </c>
      <c r="G80" s="140">
        <f t="shared" si="13"/>
        <v>0</v>
      </c>
    </row>
    <row r="81" spans="1:9" x14ac:dyDescent="0.25">
      <c r="A81" s="159" t="s">
        <v>115</v>
      </c>
      <c r="B81" s="143" t="s">
        <v>636</v>
      </c>
      <c r="C81" s="121"/>
      <c r="D81" s="118"/>
      <c r="E81" s="148">
        <f>SUM(E82:E100)</f>
        <v>266302.77</v>
      </c>
      <c r="F81" s="140">
        <f t="shared" si="12"/>
        <v>0</v>
      </c>
      <c r="G81" s="193">
        <f t="shared" si="13"/>
        <v>1071868649.2500001</v>
      </c>
    </row>
    <row r="82" spans="1:9" x14ac:dyDescent="0.25">
      <c r="A82" s="158" t="s">
        <v>116</v>
      </c>
      <c r="B82" s="121"/>
      <c r="C82" s="121" t="s">
        <v>22</v>
      </c>
      <c r="D82" s="118"/>
      <c r="E82" s="126">
        <f>SUMIF('P&amp;L'!A:A,'Chart of Account (Tax Dpt)'!A82,'P&amp;L'!D:D)</f>
        <v>195236.27000000002</v>
      </c>
      <c r="F82" s="140">
        <f t="shared" si="12"/>
        <v>0</v>
      </c>
      <c r="G82" s="140">
        <f t="shared" si="13"/>
        <v>785825986.75000012</v>
      </c>
    </row>
    <row r="83" spans="1:9" x14ac:dyDescent="0.25">
      <c r="A83" s="158" t="s">
        <v>117</v>
      </c>
      <c r="C83" s="121" t="s">
        <v>207</v>
      </c>
      <c r="D83" s="118"/>
      <c r="E83" s="126">
        <f>SUMIF('P&amp;L'!A:A,'Chart of Account (Tax Dpt)'!A83,'P&amp;L'!D:D)</f>
        <v>1568.55</v>
      </c>
      <c r="F83" s="140">
        <f t="shared" si="12"/>
        <v>0</v>
      </c>
      <c r="G83" s="140">
        <f t="shared" si="13"/>
        <v>6313413.75</v>
      </c>
    </row>
    <row r="84" spans="1:9" x14ac:dyDescent="0.25">
      <c r="A84" s="158" t="s">
        <v>118</v>
      </c>
      <c r="B84" s="121"/>
      <c r="C84" s="121" t="s">
        <v>208</v>
      </c>
      <c r="D84" s="118"/>
      <c r="E84" s="126">
        <f>SUMIF('P&amp;L'!A:A,'Chart of Account (Tax Dpt)'!A84,'P&amp;L'!D:D)</f>
        <v>7220.2900000000009</v>
      </c>
      <c r="F84" s="140">
        <f t="shared" si="12"/>
        <v>0</v>
      </c>
      <c r="G84" s="140">
        <f t="shared" si="13"/>
        <v>29061667.250000004</v>
      </c>
      <c r="I84" s="113"/>
    </row>
    <row r="85" spans="1:9" x14ac:dyDescent="0.25">
      <c r="A85" s="158" t="s">
        <v>119</v>
      </c>
      <c r="B85" s="121"/>
      <c r="C85" s="121" t="s">
        <v>209</v>
      </c>
      <c r="D85" s="118"/>
      <c r="E85" s="126">
        <f>SUMIF('P&amp;L'!A:A,'Chart of Account (Tax Dpt)'!A85,'P&amp;L'!D:D)</f>
        <v>0</v>
      </c>
      <c r="F85" s="140">
        <f t="shared" si="12"/>
        <v>0</v>
      </c>
      <c r="G85" s="140">
        <f t="shared" si="13"/>
        <v>0</v>
      </c>
    </row>
    <row r="86" spans="1:9" x14ac:dyDescent="0.25">
      <c r="A86" s="158" t="s">
        <v>120</v>
      </c>
      <c r="B86" s="121"/>
      <c r="C86" s="121" t="s">
        <v>210</v>
      </c>
      <c r="D86" s="118"/>
      <c r="E86" s="126">
        <f>SUMIF('P&amp;L'!A:A,'Chart of Account (Tax Dpt)'!A86,'P&amp;L'!D:D)</f>
        <v>11580</v>
      </c>
      <c r="F86" s="140">
        <f t="shared" si="12"/>
        <v>0</v>
      </c>
      <c r="G86" s="140">
        <f t="shared" si="13"/>
        <v>46609500</v>
      </c>
    </row>
    <row r="87" spans="1:9" x14ac:dyDescent="0.25">
      <c r="A87" s="158" t="s">
        <v>121</v>
      </c>
      <c r="B87" s="121"/>
      <c r="C87" s="121" t="s">
        <v>211</v>
      </c>
      <c r="D87" s="118"/>
      <c r="E87" s="126">
        <f>SUMIF('P&amp;L'!A:A,'Chart of Account (Tax Dpt)'!A87,'P&amp;L'!D:D)</f>
        <v>0</v>
      </c>
      <c r="F87" s="140">
        <f t="shared" si="12"/>
        <v>0</v>
      </c>
      <c r="G87" s="140">
        <f t="shared" si="13"/>
        <v>0</v>
      </c>
    </row>
    <row r="88" spans="1:9" x14ac:dyDescent="0.25">
      <c r="A88" s="158" t="s">
        <v>122</v>
      </c>
      <c r="B88" s="121"/>
      <c r="C88" s="121" t="s">
        <v>212</v>
      </c>
      <c r="D88" s="118"/>
      <c r="E88" s="126">
        <f>SUMIF('P&amp;L'!A:A,'Chart of Account (Tax Dpt)'!A88,'P&amp;L'!D:D)</f>
        <v>0</v>
      </c>
      <c r="F88" s="140">
        <f t="shared" si="12"/>
        <v>0</v>
      </c>
      <c r="G88" s="140">
        <f t="shared" si="13"/>
        <v>0</v>
      </c>
    </row>
    <row r="89" spans="1:9" x14ac:dyDescent="0.25">
      <c r="A89" s="158" t="s">
        <v>123</v>
      </c>
      <c r="B89" s="121"/>
      <c r="C89" s="121" t="s">
        <v>213</v>
      </c>
      <c r="D89" s="118"/>
      <c r="E89" s="126">
        <f>SUMIF('P&amp;L'!A:A,'Chart of Account (Tax Dpt)'!A89,'P&amp;L'!D:D)</f>
        <v>0</v>
      </c>
      <c r="F89" s="140">
        <f t="shared" si="12"/>
        <v>0</v>
      </c>
      <c r="G89" s="140">
        <f t="shared" si="13"/>
        <v>0</v>
      </c>
    </row>
    <row r="90" spans="1:9" x14ac:dyDescent="0.25">
      <c r="A90" s="158" t="s">
        <v>124</v>
      </c>
      <c r="B90" s="121"/>
      <c r="C90" s="121" t="s">
        <v>214</v>
      </c>
      <c r="D90" s="118"/>
      <c r="E90" s="126">
        <f>SUMIF('P&amp;L'!A:A,'Chart of Account (Tax Dpt)'!A90,'P&amp;L'!D:D)</f>
        <v>18530.730000000003</v>
      </c>
      <c r="F90" s="140">
        <f t="shared" si="12"/>
        <v>0</v>
      </c>
      <c r="G90" s="140">
        <f t="shared" si="13"/>
        <v>74586188.250000015</v>
      </c>
    </row>
    <row r="91" spans="1:9" x14ac:dyDescent="0.25">
      <c r="A91" s="158" t="s">
        <v>125</v>
      </c>
      <c r="B91" s="121"/>
      <c r="C91" s="121" t="s">
        <v>215</v>
      </c>
      <c r="D91" s="118"/>
      <c r="E91" s="126">
        <f>SUMIF('P&amp;L'!A:A,'Chart of Account (Tax Dpt)'!A91,'P&amp;L'!D:D)</f>
        <v>14776.1</v>
      </c>
      <c r="F91" s="140">
        <f t="shared" si="12"/>
        <v>0</v>
      </c>
      <c r="G91" s="140">
        <f t="shared" si="13"/>
        <v>59473802.5</v>
      </c>
    </row>
    <row r="92" spans="1:9" x14ac:dyDescent="0.25">
      <c r="A92" s="158" t="s">
        <v>126</v>
      </c>
      <c r="B92" s="121"/>
      <c r="C92" s="121" t="s">
        <v>216</v>
      </c>
      <c r="D92" s="118"/>
      <c r="E92" s="126">
        <f>SUMIF('P&amp;L'!A:A,'Chart of Account (Tax Dpt)'!A92,'P&amp;L'!D:D)</f>
        <v>10285.290000000001</v>
      </c>
      <c r="F92" s="140">
        <f t="shared" si="12"/>
        <v>0</v>
      </c>
      <c r="G92" s="140">
        <f t="shared" si="13"/>
        <v>41398292.25</v>
      </c>
    </row>
    <row r="93" spans="1:9" x14ac:dyDescent="0.25">
      <c r="A93" s="158" t="s">
        <v>127</v>
      </c>
      <c r="B93" s="121"/>
      <c r="C93" s="121" t="s">
        <v>217</v>
      </c>
      <c r="D93" s="118"/>
      <c r="E93" s="126">
        <f>SUMIF('P&amp;L'!A:A,'Chart of Account (Tax Dpt)'!A93,'P&amp;L'!D:D)</f>
        <v>0</v>
      </c>
      <c r="F93" s="140">
        <f t="shared" si="12"/>
        <v>0</v>
      </c>
      <c r="G93" s="140">
        <f t="shared" si="13"/>
        <v>0</v>
      </c>
    </row>
    <row r="94" spans="1:9" x14ac:dyDescent="0.25">
      <c r="A94" s="158" t="s">
        <v>128</v>
      </c>
      <c r="B94" s="121"/>
      <c r="C94" s="121" t="s">
        <v>218</v>
      </c>
      <c r="D94" s="118"/>
      <c r="E94" s="126">
        <f>SUMIF('P&amp;L'!A:A,'Chart of Account (Tax Dpt)'!A94,'P&amp;L'!D:D)</f>
        <v>0</v>
      </c>
      <c r="F94" s="140">
        <f t="shared" si="12"/>
        <v>0</v>
      </c>
      <c r="G94" s="140">
        <f t="shared" si="13"/>
        <v>0</v>
      </c>
    </row>
    <row r="95" spans="1:9" x14ac:dyDescent="0.25">
      <c r="A95" s="158" t="s">
        <v>129</v>
      </c>
      <c r="B95" s="121"/>
      <c r="C95" s="121" t="s">
        <v>219</v>
      </c>
      <c r="D95" s="118"/>
      <c r="E95" s="126">
        <f>SUMIF('P&amp;L'!A:A,'Chart of Account (Tax Dpt)'!A95,'P&amp;L'!D:D)</f>
        <v>0</v>
      </c>
      <c r="F95" s="140">
        <f t="shared" si="12"/>
        <v>0</v>
      </c>
      <c r="G95" s="140">
        <f t="shared" si="13"/>
        <v>0</v>
      </c>
    </row>
    <row r="96" spans="1:9" x14ac:dyDescent="0.25">
      <c r="A96" s="158" t="s">
        <v>130</v>
      </c>
      <c r="B96" s="121"/>
      <c r="C96" s="121" t="s">
        <v>220</v>
      </c>
      <c r="D96" s="118"/>
      <c r="E96" s="126">
        <f>SUMIF('P&amp;L'!A:A,'Chart of Account (Tax Dpt)'!A96,'P&amp;L'!D:D)</f>
        <v>0</v>
      </c>
      <c r="F96" s="140">
        <f t="shared" si="12"/>
        <v>0</v>
      </c>
      <c r="G96" s="140">
        <f t="shared" si="13"/>
        <v>0</v>
      </c>
    </row>
    <row r="97" spans="1:7" x14ac:dyDescent="0.25">
      <c r="A97" s="158" t="s">
        <v>131</v>
      </c>
      <c r="B97" s="121"/>
      <c r="C97" s="121" t="s">
        <v>221</v>
      </c>
      <c r="D97" s="118"/>
      <c r="E97" s="126">
        <f>SUMIF('P&amp;L'!A:A,'Chart of Account (Tax Dpt)'!A97,'P&amp;L'!D:D)</f>
        <v>0</v>
      </c>
      <c r="F97" s="140">
        <f t="shared" si="12"/>
        <v>0</v>
      </c>
      <c r="G97" s="140">
        <f t="shared" si="13"/>
        <v>0</v>
      </c>
    </row>
    <row r="98" spans="1:7" x14ac:dyDescent="0.25">
      <c r="A98" s="158" t="s">
        <v>132</v>
      </c>
      <c r="B98" s="121"/>
      <c r="C98" s="121" t="s">
        <v>222</v>
      </c>
      <c r="D98" s="118"/>
      <c r="E98" s="126">
        <f>SUMIF('P&amp;L'!A:A,'Chart of Account (Tax Dpt)'!A98,'P&amp;L'!D:D)</f>
        <v>0</v>
      </c>
      <c r="F98" s="140">
        <f t="shared" si="12"/>
        <v>0</v>
      </c>
      <c r="G98" s="140">
        <f t="shared" si="13"/>
        <v>0</v>
      </c>
    </row>
    <row r="99" spans="1:7" x14ac:dyDescent="0.25">
      <c r="A99" s="158" t="s">
        <v>133</v>
      </c>
      <c r="B99" s="121"/>
      <c r="C99" s="121" t="s">
        <v>223</v>
      </c>
      <c r="D99" s="118"/>
      <c r="E99" s="126">
        <f>SUMIF('P&amp;L'!A:A,'Chart of Account (Tax Dpt)'!A99,'P&amp;L'!D:D)</f>
        <v>0</v>
      </c>
      <c r="F99" s="140">
        <f t="shared" si="12"/>
        <v>0</v>
      </c>
      <c r="G99" s="140">
        <f t="shared" si="13"/>
        <v>0</v>
      </c>
    </row>
    <row r="100" spans="1:7" x14ac:dyDescent="0.25">
      <c r="A100" s="158" t="s">
        <v>134</v>
      </c>
      <c r="B100" s="121"/>
      <c r="C100" s="121" t="s">
        <v>224</v>
      </c>
      <c r="D100" s="118"/>
      <c r="E100" s="126">
        <f>SUMIF('P&amp;L'!A:A,'Chart of Account (Tax Dpt)'!A100,'P&amp;L'!D:D)</f>
        <v>7105.54</v>
      </c>
      <c r="F100" s="140">
        <f t="shared" si="12"/>
        <v>0</v>
      </c>
      <c r="G100" s="140">
        <f t="shared" si="13"/>
        <v>28599798.5</v>
      </c>
    </row>
    <row r="101" spans="1:7" x14ac:dyDescent="0.25">
      <c r="A101" s="159" t="s">
        <v>135</v>
      </c>
      <c r="B101" s="143" t="s">
        <v>639</v>
      </c>
      <c r="D101" s="118"/>
      <c r="E101" s="175">
        <f>E66+E67+E71-E81</f>
        <v>-20902.090000000026</v>
      </c>
      <c r="F101" s="140">
        <f t="shared" si="12"/>
        <v>0</v>
      </c>
      <c r="G101" s="194">
        <f t="shared" si="13"/>
        <v>-84130912.250000104</v>
      </c>
    </row>
    <row r="102" spans="1:7" x14ac:dyDescent="0.25">
      <c r="A102" s="158" t="s">
        <v>136</v>
      </c>
      <c r="B102" s="121"/>
      <c r="C102" s="121" t="s">
        <v>226</v>
      </c>
      <c r="D102" s="118"/>
      <c r="E102" s="126">
        <f>SUMIF('P&amp;L'!A:A,'Chart of Account (Tax Dpt)'!A102,'P&amp;L'!D:D)</f>
        <v>0</v>
      </c>
      <c r="F102" s="140">
        <f t="shared" si="12"/>
        <v>0</v>
      </c>
      <c r="G102" s="140">
        <f t="shared" si="13"/>
        <v>0</v>
      </c>
    </row>
    <row r="103" spans="1:7" x14ac:dyDescent="0.25">
      <c r="A103" s="158" t="s">
        <v>137</v>
      </c>
      <c r="C103" s="121" t="s">
        <v>227</v>
      </c>
      <c r="D103" s="118"/>
      <c r="E103" s="126">
        <f>SUMIF('P&amp;L'!A:A,'Chart of Account (Tax Dpt)'!A103,'P&amp;L'!D:D)</f>
        <v>0</v>
      </c>
      <c r="F103" s="140">
        <f t="shared" si="12"/>
        <v>0</v>
      </c>
      <c r="G103" s="140">
        <f t="shared" si="13"/>
        <v>0</v>
      </c>
    </row>
    <row r="104" spans="1:7" x14ac:dyDescent="0.25">
      <c r="A104" s="158" t="s">
        <v>630</v>
      </c>
      <c r="C104" s="25" t="s">
        <v>640</v>
      </c>
      <c r="D104" s="118"/>
      <c r="E104" s="126">
        <f>SUMIF('P&amp;L'!A:A,'Chart of Account (Tax Dpt)'!A104,'P&amp;L'!D:D)</f>
        <v>0</v>
      </c>
      <c r="F104" s="140">
        <f t="shared" si="12"/>
        <v>0</v>
      </c>
      <c r="G104" s="140"/>
    </row>
    <row r="105" spans="1:7" x14ac:dyDescent="0.25">
      <c r="A105" s="159" t="s">
        <v>631</v>
      </c>
      <c r="B105" s="143" t="s">
        <v>641</v>
      </c>
      <c r="D105" s="118"/>
      <c r="E105" s="191">
        <f>E101-E102-E103-E104</f>
        <v>-20902.090000000026</v>
      </c>
      <c r="F105" s="140">
        <f t="shared" si="12"/>
        <v>0</v>
      </c>
      <c r="G105" s="195">
        <f t="shared" si="13"/>
        <v>-84130912.250000104</v>
      </c>
    </row>
    <row r="106" spans="1:7" x14ac:dyDescent="0.25">
      <c r="A106" s="159" t="s">
        <v>632</v>
      </c>
      <c r="B106" s="121"/>
      <c r="C106" s="121" t="s">
        <v>229</v>
      </c>
      <c r="D106" s="118"/>
      <c r="E106" s="192">
        <v>0</v>
      </c>
      <c r="F106" s="140">
        <f t="shared" si="12"/>
        <v>0</v>
      </c>
      <c r="G106" s="139">
        <f t="shared" si="13"/>
        <v>0</v>
      </c>
    </row>
    <row r="107" spans="1:7" x14ac:dyDescent="0.25">
      <c r="A107" s="159" t="s">
        <v>633</v>
      </c>
      <c r="B107" s="143" t="s">
        <v>642</v>
      </c>
      <c r="C107" s="121"/>
      <c r="D107" s="118"/>
      <c r="E107" s="176">
        <f>E105+E106</f>
        <v>-20902.090000000026</v>
      </c>
      <c r="F107" s="140">
        <f t="shared" si="12"/>
        <v>0</v>
      </c>
      <c r="G107" s="195">
        <f t="shared" si="13"/>
        <v>-84130912.250000104</v>
      </c>
    </row>
    <row r="108" spans="1:7" x14ac:dyDescent="0.25">
      <c r="A108" s="160"/>
      <c r="B108" s="122"/>
      <c r="C108" s="122"/>
      <c r="D108" s="119"/>
      <c r="E108" s="128"/>
      <c r="F108" s="141"/>
      <c r="G108" s="141"/>
    </row>
    <row r="109" spans="1:7" x14ac:dyDescent="0.25">
      <c r="F109" s="142"/>
      <c r="G109" s="142"/>
    </row>
    <row r="110" spans="1:7" x14ac:dyDescent="0.25">
      <c r="F110" s="142"/>
      <c r="G110" s="142"/>
    </row>
    <row r="111" spans="1:7" x14ac:dyDescent="0.25">
      <c r="F111" s="142"/>
      <c r="G111" s="142"/>
    </row>
    <row r="112" spans="1:7" x14ac:dyDescent="0.25">
      <c r="F112" s="142"/>
      <c r="G112" s="142"/>
    </row>
    <row r="113" spans="6:7" x14ac:dyDescent="0.25">
      <c r="F113" s="142"/>
      <c r="G113" s="142"/>
    </row>
    <row r="114" spans="6:7" x14ac:dyDescent="0.25">
      <c r="F114" s="142"/>
      <c r="G114" s="142"/>
    </row>
    <row r="115" spans="6:7" x14ac:dyDescent="0.25">
      <c r="F115" s="142"/>
      <c r="G115" s="142"/>
    </row>
    <row r="116" spans="6:7" x14ac:dyDescent="0.25">
      <c r="F116" s="142"/>
      <c r="G116" s="142"/>
    </row>
    <row r="117" spans="6:7" x14ac:dyDescent="0.25">
      <c r="F117" s="142"/>
      <c r="G117" s="142"/>
    </row>
    <row r="118" spans="6:7" x14ac:dyDescent="0.25">
      <c r="F118" s="142"/>
      <c r="G118" s="142"/>
    </row>
    <row r="119" spans="6:7" x14ac:dyDescent="0.25">
      <c r="F119" s="142"/>
      <c r="G119" s="142"/>
    </row>
    <row r="120" spans="6:7" x14ac:dyDescent="0.25">
      <c r="F120" s="142"/>
      <c r="G120" s="142"/>
    </row>
    <row r="121" spans="6:7" x14ac:dyDescent="0.25">
      <c r="F121" s="142"/>
      <c r="G121" s="142"/>
    </row>
    <row r="122" spans="6:7" x14ac:dyDescent="0.25">
      <c r="F122" s="142"/>
      <c r="G122" s="142"/>
    </row>
    <row r="123" spans="6:7" x14ac:dyDescent="0.25">
      <c r="F123" s="142"/>
      <c r="G123" s="142"/>
    </row>
    <row r="124" spans="6:7" x14ac:dyDescent="0.25">
      <c r="F124" s="142"/>
      <c r="G124" s="142"/>
    </row>
    <row r="125" spans="6:7" x14ac:dyDescent="0.25">
      <c r="F125" s="142"/>
      <c r="G125" s="142"/>
    </row>
    <row r="126" spans="6:7" x14ac:dyDescent="0.25">
      <c r="F126" s="142"/>
      <c r="G126" s="142"/>
    </row>
    <row r="127" spans="6:7" x14ac:dyDescent="0.25">
      <c r="G127" s="142"/>
    </row>
    <row r="128" spans="6:7" x14ac:dyDescent="0.25">
      <c r="G128" s="142"/>
    </row>
    <row r="129" spans="7:7" x14ac:dyDescent="0.25">
      <c r="G129" s="142"/>
    </row>
    <row r="130" spans="7:7" x14ac:dyDescent="0.25">
      <c r="G130" s="142"/>
    </row>
    <row r="131" spans="7:7" x14ac:dyDescent="0.25">
      <c r="G131" s="142"/>
    </row>
    <row r="132" spans="7:7" x14ac:dyDescent="0.25">
      <c r="G132" s="142"/>
    </row>
    <row r="133" spans="7:7" x14ac:dyDescent="0.25">
      <c r="G133" s="142"/>
    </row>
    <row r="134" spans="7:7" x14ac:dyDescent="0.25">
      <c r="G134" s="142"/>
    </row>
    <row r="135" spans="7:7" x14ac:dyDescent="0.25">
      <c r="G135" s="142"/>
    </row>
    <row r="136" spans="7:7" x14ac:dyDescent="0.25">
      <c r="G136" s="142"/>
    </row>
    <row r="137" spans="7:7" x14ac:dyDescent="0.25">
      <c r="G137" s="142"/>
    </row>
    <row r="138" spans="7:7" x14ac:dyDescent="0.25">
      <c r="G138" s="142"/>
    </row>
    <row r="139" spans="7:7" x14ac:dyDescent="0.25">
      <c r="G139" s="142"/>
    </row>
    <row r="140" spans="7:7" x14ac:dyDescent="0.25">
      <c r="G140" s="142"/>
    </row>
    <row r="141" spans="7:7" x14ac:dyDescent="0.25">
      <c r="G141" s="142"/>
    </row>
    <row r="142" spans="7:7" x14ac:dyDescent="0.25">
      <c r="G142" s="142"/>
    </row>
    <row r="143" spans="7:7" x14ac:dyDescent="0.25">
      <c r="G143" s="142"/>
    </row>
    <row r="144" spans="7:7" x14ac:dyDescent="0.25">
      <c r="G144" s="142"/>
    </row>
    <row r="145" spans="7:7" x14ac:dyDescent="0.25">
      <c r="G145" s="142"/>
    </row>
    <row r="146" spans="7:7" x14ac:dyDescent="0.25">
      <c r="G146" s="142"/>
    </row>
    <row r="147" spans="7:7" x14ac:dyDescent="0.25">
      <c r="G147" s="142"/>
    </row>
  </sheetData>
  <mergeCells count="6">
    <mergeCell ref="D3:E3"/>
    <mergeCell ref="F3:G3"/>
    <mergeCell ref="F2:G2"/>
    <mergeCell ref="A2:A4"/>
    <mergeCell ref="B2:B4"/>
    <mergeCell ref="C2:C4"/>
  </mergeCells>
  <phoneticPr fontId="10" type="noConversion"/>
  <pageMargins left="1.2086581364829401" right="0.25" top="0.23425196850393701" bottom="0.48425196850393698" header="0.26180993000874903" footer="1.1808836395450601E-2"/>
  <pageSetup paperSize="9" orientation="landscape" r:id="rId1"/>
  <headerFooter>
    <oddFooter>Page &amp;P of &amp;N</oddFooter>
  </headerFooter>
  <ignoredErrors>
    <ignoredError sqref="E82 F18:G18 F33:G33" formula="1"/>
  </ignoredError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P58"/>
  <sheetViews>
    <sheetView workbookViewId="0">
      <selection activeCell="C10" sqref="C10"/>
    </sheetView>
  </sheetViews>
  <sheetFormatPr defaultColWidth="9.28515625" defaultRowHeight="11.25" x14ac:dyDescent="0.2"/>
  <cols>
    <col min="1" max="1" width="5.28515625" style="28" customWidth="1"/>
    <col min="2" max="2" width="17.7109375" style="28" customWidth="1"/>
    <col min="3" max="3" width="35.28515625" style="28" customWidth="1"/>
    <col min="4" max="7" width="11" style="28" hidden="1" customWidth="1"/>
    <col min="8" max="8" width="14" style="28" hidden="1" customWidth="1"/>
    <col min="9" max="9" width="16.7109375" style="28" customWidth="1"/>
    <col min="10" max="17" width="14.5703125" style="28" customWidth="1"/>
    <col min="18" max="18" width="24.28515625" style="28" customWidth="1"/>
    <col min="19" max="19" width="25.7109375" style="28" customWidth="1"/>
    <col min="20" max="20" width="5.28515625" style="28" customWidth="1"/>
    <col min="21" max="21" width="15.7109375" style="28" hidden="1" customWidth="1"/>
    <col min="22" max="22" width="15.28515625" style="28" hidden="1" customWidth="1"/>
    <col min="23" max="23" width="6.28515625" style="28" hidden="1" customWidth="1"/>
    <col min="24" max="24" width="4.7109375" style="28" hidden="1" customWidth="1"/>
    <col min="25" max="25" width="6.5703125" style="28" hidden="1" customWidth="1"/>
    <col min="26" max="26" width="12.42578125" style="28" hidden="1" customWidth="1"/>
    <col min="27" max="27" width="16" style="28" hidden="1" customWidth="1"/>
    <col min="28" max="29" width="5.7109375" style="28" hidden="1" customWidth="1"/>
    <col min="30" max="30" width="10.42578125" style="28" hidden="1" customWidth="1"/>
    <col min="31" max="31" width="12.7109375" style="28" hidden="1" customWidth="1"/>
    <col min="32" max="32" width="11.42578125" style="28" hidden="1" customWidth="1"/>
    <col min="33" max="33" width="10.28515625" style="28" hidden="1" customWidth="1"/>
    <col min="34" max="34" width="12.28515625" style="28" hidden="1" customWidth="1"/>
    <col min="35" max="35" width="9.7109375" style="28" hidden="1" customWidth="1"/>
    <col min="36" max="36" width="10.7109375" style="28" hidden="1" customWidth="1"/>
    <col min="37" max="37" width="6.5703125" style="28" hidden="1" customWidth="1"/>
    <col min="38" max="38" width="9.28515625" style="28" hidden="1" customWidth="1"/>
    <col min="39" max="41" width="10" style="29" hidden="1" customWidth="1"/>
    <col min="42" max="256" width="9.28515625" style="28"/>
    <col min="257" max="257" width="5.28515625" style="28" customWidth="1"/>
    <col min="258" max="258" width="17.7109375" style="28" customWidth="1"/>
    <col min="259" max="259" width="35.28515625" style="28" customWidth="1"/>
    <col min="260" max="264" width="0" style="28" hidden="1" customWidth="1"/>
    <col min="265" max="265" width="16.7109375" style="28" customWidth="1"/>
    <col min="266" max="273" width="14.5703125" style="28" customWidth="1"/>
    <col min="274" max="274" width="24.28515625" style="28" customWidth="1"/>
    <col min="275" max="275" width="25.7109375" style="28" customWidth="1"/>
    <col min="276" max="276" width="5.28515625" style="28" customWidth="1"/>
    <col min="277" max="297" width="0" style="28" hidden="1" customWidth="1"/>
    <col min="298" max="512" width="9.28515625" style="28"/>
    <col min="513" max="513" width="5.28515625" style="28" customWidth="1"/>
    <col min="514" max="514" width="17.7109375" style="28" customWidth="1"/>
    <col min="515" max="515" width="35.28515625" style="28" customWidth="1"/>
    <col min="516" max="520" width="0" style="28" hidden="1" customWidth="1"/>
    <col min="521" max="521" width="16.7109375" style="28" customWidth="1"/>
    <col min="522" max="529" width="14.5703125" style="28" customWidth="1"/>
    <col min="530" max="530" width="24.28515625" style="28" customWidth="1"/>
    <col min="531" max="531" width="25.7109375" style="28" customWidth="1"/>
    <col min="532" max="532" width="5.28515625" style="28" customWidth="1"/>
    <col min="533" max="553" width="0" style="28" hidden="1" customWidth="1"/>
    <col min="554" max="768" width="9.28515625" style="28"/>
    <col min="769" max="769" width="5.28515625" style="28" customWidth="1"/>
    <col min="770" max="770" width="17.7109375" style="28" customWidth="1"/>
    <col min="771" max="771" width="35.28515625" style="28" customWidth="1"/>
    <col min="772" max="776" width="0" style="28" hidden="1" customWidth="1"/>
    <col min="777" max="777" width="16.7109375" style="28" customWidth="1"/>
    <col min="778" max="785" width="14.5703125" style="28" customWidth="1"/>
    <col min="786" max="786" width="24.28515625" style="28" customWidth="1"/>
    <col min="787" max="787" width="25.7109375" style="28" customWidth="1"/>
    <col min="788" max="788" width="5.28515625" style="28" customWidth="1"/>
    <col min="789" max="809" width="0" style="28" hidden="1" customWidth="1"/>
    <col min="810" max="1024" width="9.28515625" style="28"/>
    <col min="1025" max="1025" width="5.28515625" style="28" customWidth="1"/>
    <col min="1026" max="1026" width="17.7109375" style="28" customWidth="1"/>
    <col min="1027" max="1027" width="35.28515625" style="28" customWidth="1"/>
    <col min="1028" max="1032" width="0" style="28" hidden="1" customWidth="1"/>
    <col min="1033" max="1033" width="16.7109375" style="28" customWidth="1"/>
    <col min="1034" max="1041" width="14.5703125" style="28" customWidth="1"/>
    <col min="1042" max="1042" width="24.28515625" style="28" customWidth="1"/>
    <col min="1043" max="1043" width="25.7109375" style="28" customWidth="1"/>
    <col min="1044" max="1044" width="5.28515625" style="28" customWidth="1"/>
    <col min="1045" max="1065" width="0" style="28" hidden="1" customWidth="1"/>
    <col min="1066" max="1280" width="9.28515625" style="28"/>
    <col min="1281" max="1281" width="5.28515625" style="28" customWidth="1"/>
    <col min="1282" max="1282" width="17.7109375" style="28" customWidth="1"/>
    <col min="1283" max="1283" width="35.28515625" style="28" customWidth="1"/>
    <col min="1284" max="1288" width="0" style="28" hidden="1" customWidth="1"/>
    <col min="1289" max="1289" width="16.7109375" style="28" customWidth="1"/>
    <col min="1290" max="1297" width="14.5703125" style="28" customWidth="1"/>
    <col min="1298" max="1298" width="24.28515625" style="28" customWidth="1"/>
    <col min="1299" max="1299" width="25.7109375" style="28" customWidth="1"/>
    <col min="1300" max="1300" width="5.28515625" style="28" customWidth="1"/>
    <col min="1301" max="1321" width="0" style="28" hidden="1" customWidth="1"/>
    <col min="1322" max="1536" width="9.28515625" style="28"/>
    <col min="1537" max="1537" width="5.28515625" style="28" customWidth="1"/>
    <col min="1538" max="1538" width="17.7109375" style="28" customWidth="1"/>
    <col min="1539" max="1539" width="35.28515625" style="28" customWidth="1"/>
    <col min="1540" max="1544" width="0" style="28" hidden="1" customWidth="1"/>
    <col min="1545" max="1545" width="16.7109375" style="28" customWidth="1"/>
    <col min="1546" max="1553" width="14.5703125" style="28" customWidth="1"/>
    <col min="1554" max="1554" width="24.28515625" style="28" customWidth="1"/>
    <col min="1555" max="1555" width="25.7109375" style="28" customWidth="1"/>
    <col min="1556" max="1556" width="5.28515625" style="28" customWidth="1"/>
    <col min="1557" max="1577" width="0" style="28" hidden="1" customWidth="1"/>
    <col min="1578" max="1792" width="9.28515625" style="28"/>
    <col min="1793" max="1793" width="5.28515625" style="28" customWidth="1"/>
    <col min="1794" max="1794" width="17.7109375" style="28" customWidth="1"/>
    <col min="1795" max="1795" width="35.28515625" style="28" customWidth="1"/>
    <col min="1796" max="1800" width="0" style="28" hidden="1" customWidth="1"/>
    <col min="1801" max="1801" width="16.7109375" style="28" customWidth="1"/>
    <col min="1802" max="1809" width="14.5703125" style="28" customWidth="1"/>
    <col min="1810" max="1810" width="24.28515625" style="28" customWidth="1"/>
    <col min="1811" max="1811" width="25.7109375" style="28" customWidth="1"/>
    <col min="1812" max="1812" width="5.28515625" style="28" customWidth="1"/>
    <col min="1813" max="1833" width="0" style="28" hidden="1" customWidth="1"/>
    <col min="1834" max="2048" width="9.28515625" style="28"/>
    <col min="2049" max="2049" width="5.28515625" style="28" customWidth="1"/>
    <col min="2050" max="2050" width="17.7109375" style="28" customWidth="1"/>
    <col min="2051" max="2051" width="35.28515625" style="28" customWidth="1"/>
    <col min="2052" max="2056" width="0" style="28" hidden="1" customWidth="1"/>
    <col min="2057" max="2057" width="16.7109375" style="28" customWidth="1"/>
    <col min="2058" max="2065" width="14.5703125" style="28" customWidth="1"/>
    <col min="2066" max="2066" width="24.28515625" style="28" customWidth="1"/>
    <col min="2067" max="2067" width="25.7109375" style="28" customWidth="1"/>
    <col min="2068" max="2068" width="5.28515625" style="28" customWidth="1"/>
    <col min="2069" max="2089" width="0" style="28" hidden="1" customWidth="1"/>
    <col min="2090" max="2304" width="9.28515625" style="28"/>
    <col min="2305" max="2305" width="5.28515625" style="28" customWidth="1"/>
    <col min="2306" max="2306" width="17.7109375" style="28" customWidth="1"/>
    <col min="2307" max="2307" width="35.28515625" style="28" customWidth="1"/>
    <col min="2308" max="2312" width="0" style="28" hidden="1" customWidth="1"/>
    <col min="2313" max="2313" width="16.7109375" style="28" customWidth="1"/>
    <col min="2314" max="2321" width="14.5703125" style="28" customWidth="1"/>
    <col min="2322" max="2322" width="24.28515625" style="28" customWidth="1"/>
    <col min="2323" max="2323" width="25.7109375" style="28" customWidth="1"/>
    <col min="2324" max="2324" width="5.28515625" style="28" customWidth="1"/>
    <col min="2325" max="2345" width="0" style="28" hidden="1" customWidth="1"/>
    <col min="2346" max="2560" width="9.28515625" style="28"/>
    <col min="2561" max="2561" width="5.28515625" style="28" customWidth="1"/>
    <col min="2562" max="2562" width="17.7109375" style="28" customWidth="1"/>
    <col min="2563" max="2563" width="35.28515625" style="28" customWidth="1"/>
    <col min="2564" max="2568" width="0" style="28" hidden="1" customWidth="1"/>
    <col min="2569" max="2569" width="16.7109375" style="28" customWidth="1"/>
    <col min="2570" max="2577" width="14.5703125" style="28" customWidth="1"/>
    <col min="2578" max="2578" width="24.28515625" style="28" customWidth="1"/>
    <col min="2579" max="2579" width="25.7109375" style="28" customWidth="1"/>
    <col min="2580" max="2580" width="5.28515625" style="28" customWidth="1"/>
    <col min="2581" max="2601" width="0" style="28" hidden="1" customWidth="1"/>
    <col min="2602" max="2816" width="9.28515625" style="28"/>
    <col min="2817" max="2817" width="5.28515625" style="28" customWidth="1"/>
    <col min="2818" max="2818" width="17.7109375" style="28" customWidth="1"/>
    <col min="2819" max="2819" width="35.28515625" style="28" customWidth="1"/>
    <col min="2820" max="2824" width="0" style="28" hidden="1" customWidth="1"/>
    <col min="2825" max="2825" width="16.7109375" style="28" customWidth="1"/>
    <col min="2826" max="2833" width="14.5703125" style="28" customWidth="1"/>
    <col min="2834" max="2834" width="24.28515625" style="28" customWidth="1"/>
    <col min="2835" max="2835" width="25.7109375" style="28" customWidth="1"/>
    <col min="2836" max="2836" width="5.28515625" style="28" customWidth="1"/>
    <col min="2837" max="2857" width="0" style="28" hidden="1" customWidth="1"/>
    <col min="2858" max="3072" width="9.28515625" style="28"/>
    <col min="3073" max="3073" width="5.28515625" style="28" customWidth="1"/>
    <col min="3074" max="3074" width="17.7109375" style="28" customWidth="1"/>
    <col min="3075" max="3075" width="35.28515625" style="28" customWidth="1"/>
    <col min="3076" max="3080" width="0" style="28" hidden="1" customWidth="1"/>
    <col min="3081" max="3081" width="16.7109375" style="28" customWidth="1"/>
    <col min="3082" max="3089" width="14.5703125" style="28" customWidth="1"/>
    <col min="3090" max="3090" width="24.28515625" style="28" customWidth="1"/>
    <col min="3091" max="3091" width="25.7109375" style="28" customWidth="1"/>
    <col min="3092" max="3092" width="5.28515625" style="28" customWidth="1"/>
    <col min="3093" max="3113" width="0" style="28" hidden="1" customWidth="1"/>
    <col min="3114" max="3328" width="9.28515625" style="28"/>
    <col min="3329" max="3329" width="5.28515625" style="28" customWidth="1"/>
    <col min="3330" max="3330" width="17.7109375" style="28" customWidth="1"/>
    <col min="3331" max="3331" width="35.28515625" style="28" customWidth="1"/>
    <col min="3332" max="3336" width="0" style="28" hidden="1" customWidth="1"/>
    <col min="3337" max="3337" width="16.7109375" style="28" customWidth="1"/>
    <col min="3338" max="3345" width="14.5703125" style="28" customWidth="1"/>
    <col min="3346" max="3346" width="24.28515625" style="28" customWidth="1"/>
    <col min="3347" max="3347" width="25.7109375" style="28" customWidth="1"/>
    <col min="3348" max="3348" width="5.28515625" style="28" customWidth="1"/>
    <col min="3349" max="3369" width="0" style="28" hidden="1" customWidth="1"/>
    <col min="3370" max="3584" width="9.28515625" style="28"/>
    <col min="3585" max="3585" width="5.28515625" style="28" customWidth="1"/>
    <col min="3586" max="3586" width="17.7109375" style="28" customWidth="1"/>
    <col min="3587" max="3587" width="35.28515625" style="28" customWidth="1"/>
    <col min="3588" max="3592" width="0" style="28" hidden="1" customWidth="1"/>
    <col min="3593" max="3593" width="16.7109375" style="28" customWidth="1"/>
    <col min="3594" max="3601" width="14.5703125" style="28" customWidth="1"/>
    <col min="3602" max="3602" width="24.28515625" style="28" customWidth="1"/>
    <col min="3603" max="3603" width="25.7109375" style="28" customWidth="1"/>
    <col min="3604" max="3604" width="5.28515625" style="28" customWidth="1"/>
    <col min="3605" max="3625" width="0" style="28" hidden="1" customWidth="1"/>
    <col min="3626" max="3840" width="9.28515625" style="28"/>
    <col min="3841" max="3841" width="5.28515625" style="28" customWidth="1"/>
    <col min="3842" max="3842" width="17.7109375" style="28" customWidth="1"/>
    <col min="3843" max="3843" width="35.28515625" style="28" customWidth="1"/>
    <col min="3844" max="3848" width="0" style="28" hidden="1" customWidth="1"/>
    <col min="3849" max="3849" width="16.7109375" style="28" customWidth="1"/>
    <col min="3850" max="3857" width="14.5703125" style="28" customWidth="1"/>
    <col min="3858" max="3858" width="24.28515625" style="28" customWidth="1"/>
    <col min="3859" max="3859" width="25.7109375" style="28" customWidth="1"/>
    <col min="3860" max="3860" width="5.28515625" style="28" customWidth="1"/>
    <col min="3861" max="3881" width="0" style="28" hidden="1" customWidth="1"/>
    <col min="3882" max="4096" width="9.28515625" style="28"/>
    <col min="4097" max="4097" width="5.28515625" style="28" customWidth="1"/>
    <col min="4098" max="4098" width="17.7109375" style="28" customWidth="1"/>
    <col min="4099" max="4099" width="35.28515625" style="28" customWidth="1"/>
    <col min="4100" max="4104" width="0" style="28" hidden="1" customWidth="1"/>
    <col min="4105" max="4105" width="16.7109375" style="28" customWidth="1"/>
    <col min="4106" max="4113" width="14.5703125" style="28" customWidth="1"/>
    <col min="4114" max="4114" width="24.28515625" style="28" customWidth="1"/>
    <col min="4115" max="4115" width="25.7109375" style="28" customWidth="1"/>
    <col min="4116" max="4116" width="5.28515625" style="28" customWidth="1"/>
    <col min="4117" max="4137" width="0" style="28" hidden="1" customWidth="1"/>
    <col min="4138" max="4352" width="9.28515625" style="28"/>
    <col min="4353" max="4353" width="5.28515625" style="28" customWidth="1"/>
    <col min="4354" max="4354" width="17.7109375" style="28" customWidth="1"/>
    <col min="4355" max="4355" width="35.28515625" style="28" customWidth="1"/>
    <col min="4356" max="4360" width="0" style="28" hidden="1" customWidth="1"/>
    <col min="4361" max="4361" width="16.7109375" style="28" customWidth="1"/>
    <col min="4362" max="4369" width="14.5703125" style="28" customWidth="1"/>
    <col min="4370" max="4370" width="24.28515625" style="28" customWidth="1"/>
    <col min="4371" max="4371" width="25.7109375" style="28" customWidth="1"/>
    <col min="4372" max="4372" width="5.28515625" style="28" customWidth="1"/>
    <col min="4373" max="4393" width="0" style="28" hidden="1" customWidth="1"/>
    <col min="4394" max="4608" width="9.28515625" style="28"/>
    <col min="4609" max="4609" width="5.28515625" style="28" customWidth="1"/>
    <col min="4610" max="4610" width="17.7109375" style="28" customWidth="1"/>
    <col min="4611" max="4611" width="35.28515625" style="28" customWidth="1"/>
    <col min="4612" max="4616" width="0" style="28" hidden="1" customWidth="1"/>
    <col min="4617" max="4617" width="16.7109375" style="28" customWidth="1"/>
    <col min="4618" max="4625" width="14.5703125" style="28" customWidth="1"/>
    <col min="4626" max="4626" width="24.28515625" style="28" customWidth="1"/>
    <col min="4627" max="4627" width="25.7109375" style="28" customWidth="1"/>
    <col min="4628" max="4628" width="5.28515625" style="28" customWidth="1"/>
    <col min="4629" max="4649" width="0" style="28" hidden="1" customWidth="1"/>
    <col min="4650" max="4864" width="9.28515625" style="28"/>
    <col min="4865" max="4865" width="5.28515625" style="28" customWidth="1"/>
    <col min="4866" max="4866" width="17.7109375" style="28" customWidth="1"/>
    <col min="4867" max="4867" width="35.28515625" style="28" customWidth="1"/>
    <col min="4868" max="4872" width="0" style="28" hidden="1" customWidth="1"/>
    <col min="4873" max="4873" width="16.7109375" style="28" customWidth="1"/>
    <col min="4874" max="4881" width="14.5703125" style="28" customWidth="1"/>
    <col min="4882" max="4882" width="24.28515625" style="28" customWidth="1"/>
    <col min="4883" max="4883" width="25.7109375" style="28" customWidth="1"/>
    <col min="4884" max="4884" width="5.28515625" style="28" customWidth="1"/>
    <col min="4885" max="4905" width="0" style="28" hidden="1" customWidth="1"/>
    <col min="4906" max="5120" width="9.28515625" style="28"/>
    <col min="5121" max="5121" width="5.28515625" style="28" customWidth="1"/>
    <col min="5122" max="5122" width="17.7109375" style="28" customWidth="1"/>
    <col min="5123" max="5123" width="35.28515625" style="28" customWidth="1"/>
    <col min="5124" max="5128" width="0" style="28" hidden="1" customWidth="1"/>
    <col min="5129" max="5129" width="16.7109375" style="28" customWidth="1"/>
    <col min="5130" max="5137" width="14.5703125" style="28" customWidth="1"/>
    <col min="5138" max="5138" width="24.28515625" style="28" customWidth="1"/>
    <col min="5139" max="5139" width="25.7109375" style="28" customWidth="1"/>
    <col min="5140" max="5140" width="5.28515625" style="28" customWidth="1"/>
    <col min="5141" max="5161" width="0" style="28" hidden="1" customWidth="1"/>
    <col min="5162" max="5376" width="9.28515625" style="28"/>
    <col min="5377" max="5377" width="5.28515625" style="28" customWidth="1"/>
    <col min="5378" max="5378" width="17.7109375" style="28" customWidth="1"/>
    <col min="5379" max="5379" width="35.28515625" style="28" customWidth="1"/>
    <col min="5380" max="5384" width="0" style="28" hidden="1" customWidth="1"/>
    <col min="5385" max="5385" width="16.7109375" style="28" customWidth="1"/>
    <col min="5386" max="5393" width="14.5703125" style="28" customWidth="1"/>
    <col min="5394" max="5394" width="24.28515625" style="28" customWidth="1"/>
    <col min="5395" max="5395" width="25.7109375" style="28" customWidth="1"/>
    <col min="5396" max="5396" width="5.28515625" style="28" customWidth="1"/>
    <col min="5397" max="5417" width="0" style="28" hidden="1" customWidth="1"/>
    <col min="5418" max="5632" width="9.28515625" style="28"/>
    <col min="5633" max="5633" width="5.28515625" style="28" customWidth="1"/>
    <col min="5634" max="5634" width="17.7109375" style="28" customWidth="1"/>
    <col min="5635" max="5635" width="35.28515625" style="28" customWidth="1"/>
    <col min="5636" max="5640" width="0" style="28" hidden="1" customWidth="1"/>
    <col min="5641" max="5641" width="16.7109375" style="28" customWidth="1"/>
    <col min="5642" max="5649" width="14.5703125" style="28" customWidth="1"/>
    <col min="5650" max="5650" width="24.28515625" style="28" customWidth="1"/>
    <col min="5651" max="5651" width="25.7109375" style="28" customWidth="1"/>
    <col min="5652" max="5652" width="5.28515625" style="28" customWidth="1"/>
    <col min="5653" max="5673" width="0" style="28" hidden="1" customWidth="1"/>
    <col min="5674" max="5888" width="9.28515625" style="28"/>
    <col min="5889" max="5889" width="5.28515625" style="28" customWidth="1"/>
    <col min="5890" max="5890" width="17.7109375" style="28" customWidth="1"/>
    <col min="5891" max="5891" width="35.28515625" style="28" customWidth="1"/>
    <col min="5892" max="5896" width="0" style="28" hidden="1" customWidth="1"/>
    <col min="5897" max="5897" width="16.7109375" style="28" customWidth="1"/>
    <col min="5898" max="5905" width="14.5703125" style="28" customWidth="1"/>
    <col min="5906" max="5906" width="24.28515625" style="28" customWidth="1"/>
    <col min="5907" max="5907" width="25.7109375" style="28" customWidth="1"/>
    <col min="5908" max="5908" width="5.28515625" style="28" customWidth="1"/>
    <col min="5909" max="5929" width="0" style="28" hidden="1" customWidth="1"/>
    <col min="5930" max="6144" width="9.28515625" style="28"/>
    <col min="6145" max="6145" width="5.28515625" style="28" customWidth="1"/>
    <col min="6146" max="6146" width="17.7109375" style="28" customWidth="1"/>
    <col min="6147" max="6147" width="35.28515625" style="28" customWidth="1"/>
    <col min="6148" max="6152" width="0" style="28" hidden="1" customWidth="1"/>
    <col min="6153" max="6153" width="16.7109375" style="28" customWidth="1"/>
    <col min="6154" max="6161" width="14.5703125" style="28" customWidth="1"/>
    <col min="6162" max="6162" width="24.28515625" style="28" customWidth="1"/>
    <col min="6163" max="6163" width="25.7109375" style="28" customWidth="1"/>
    <col min="6164" max="6164" width="5.28515625" style="28" customWidth="1"/>
    <col min="6165" max="6185" width="0" style="28" hidden="1" customWidth="1"/>
    <col min="6186" max="6400" width="9.28515625" style="28"/>
    <col min="6401" max="6401" width="5.28515625" style="28" customWidth="1"/>
    <col min="6402" max="6402" width="17.7109375" style="28" customWidth="1"/>
    <col min="6403" max="6403" width="35.28515625" style="28" customWidth="1"/>
    <col min="6404" max="6408" width="0" style="28" hidden="1" customWidth="1"/>
    <col min="6409" max="6409" width="16.7109375" style="28" customWidth="1"/>
    <col min="6410" max="6417" width="14.5703125" style="28" customWidth="1"/>
    <col min="6418" max="6418" width="24.28515625" style="28" customWidth="1"/>
    <col min="6419" max="6419" width="25.7109375" style="28" customWidth="1"/>
    <col min="6420" max="6420" width="5.28515625" style="28" customWidth="1"/>
    <col min="6421" max="6441" width="0" style="28" hidden="1" customWidth="1"/>
    <col min="6442" max="6656" width="9.28515625" style="28"/>
    <col min="6657" max="6657" width="5.28515625" style="28" customWidth="1"/>
    <col min="6658" max="6658" width="17.7109375" style="28" customWidth="1"/>
    <col min="6659" max="6659" width="35.28515625" style="28" customWidth="1"/>
    <col min="6660" max="6664" width="0" style="28" hidden="1" customWidth="1"/>
    <col min="6665" max="6665" width="16.7109375" style="28" customWidth="1"/>
    <col min="6666" max="6673" width="14.5703125" style="28" customWidth="1"/>
    <col min="6674" max="6674" width="24.28515625" style="28" customWidth="1"/>
    <col min="6675" max="6675" width="25.7109375" style="28" customWidth="1"/>
    <col min="6676" max="6676" width="5.28515625" style="28" customWidth="1"/>
    <col min="6677" max="6697" width="0" style="28" hidden="1" customWidth="1"/>
    <col min="6698" max="6912" width="9.28515625" style="28"/>
    <col min="6913" max="6913" width="5.28515625" style="28" customWidth="1"/>
    <col min="6914" max="6914" width="17.7109375" style="28" customWidth="1"/>
    <col min="6915" max="6915" width="35.28515625" style="28" customWidth="1"/>
    <col min="6916" max="6920" width="0" style="28" hidden="1" customWidth="1"/>
    <col min="6921" max="6921" width="16.7109375" style="28" customWidth="1"/>
    <col min="6922" max="6929" width="14.5703125" style="28" customWidth="1"/>
    <col min="6930" max="6930" width="24.28515625" style="28" customWidth="1"/>
    <col min="6931" max="6931" width="25.7109375" style="28" customWidth="1"/>
    <col min="6932" max="6932" width="5.28515625" style="28" customWidth="1"/>
    <col min="6933" max="6953" width="0" style="28" hidden="1" customWidth="1"/>
    <col min="6954" max="7168" width="9.28515625" style="28"/>
    <col min="7169" max="7169" width="5.28515625" style="28" customWidth="1"/>
    <col min="7170" max="7170" width="17.7109375" style="28" customWidth="1"/>
    <col min="7171" max="7171" width="35.28515625" style="28" customWidth="1"/>
    <col min="7172" max="7176" width="0" style="28" hidden="1" customWidth="1"/>
    <col min="7177" max="7177" width="16.7109375" style="28" customWidth="1"/>
    <col min="7178" max="7185" width="14.5703125" style="28" customWidth="1"/>
    <col min="7186" max="7186" width="24.28515625" style="28" customWidth="1"/>
    <col min="7187" max="7187" width="25.7109375" style="28" customWidth="1"/>
    <col min="7188" max="7188" width="5.28515625" style="28" customWidth="1"/>
    <col min="7189" max="7209" width="0" style="28" hidden="1" customWidth="1"/>
    <col min="7210" max="7424" width="9.28515625" style="28"/>
    <col min="7425" max="7425" width="5.28515625" style="28" customWidth="1"/>
    <col min="7426" max="7426" width="17.7109375" style="28" customWidth="1"/>
    <col min="7427" max="7427" width="35.28515625" style="28" customWidth="1"/>
    <col min="7428" max="7432" width="0" style="28" hidden="1" customWidth="1"/>
    <col min="7433" max="7433" width="16.7109375" style="28" customWidth="1"/>
    <col min="7434" max="7441" width="14.5703125" style="28" customWidth="1"/>
    <col min="7442" max="7442" width="24.28515625" style="28" customWidth="1"/>
    <col min="7443" max="7443" width="25.7109375" style="28" customWidth="1"/>
    <col min="7444" max="7444" width="5.28515625" style="28" customWidth="1"/>
    <col min="7445" max="7465" width="0" style="28" hidden="1" customWidth="1"/>
    <col min="7466" max="7680" width="9.28515625" style="28"/>
    <col min="7681" max="7681" width="5.28515625" style="28" customWidth="1"/>
    <col min="7682" max="7682" width="17.7109375" style="28" customWidth="1"/>
    <col min="7683" max="7683" width="35.28515625" style="28" customWidth="1"/>
    <col min="7684" max="7688" width="0" style="28" hidden="1" customWidth="1"/>
    <col min="7689" max="7689" width="16.7109375" style="28" customWidth="1"/>
    <col min="7690" max="7697" width="14.5703125" style="28" customWidth="1"/>
    <col min="7698" max="7698" width="24.28515625" style="28" customWidth="1"/>
    <col min="7699" max="7699" width="25.7109375" style="28" customWidth="1"/>
    <col min="7700" max="7700" width="5.28515625" style="28" customWidth="1"/>
    <col min="7701" max="7721" width="0" style="28" hidden="1" customWidth="1"/>
    <col min="7722" max="7936" width="9.28515625" style="28"/>
    <col min="7937" max="7937" width="5.28515625" style="28" customWidth="1"/>
    <col min="7938" max="7938" width="17.7109375" style="28" customWidth="1"/>
    <col min="7939" max="7939" width="35.28515625" style="28" customWidth="1"/>
    <col min="7940" max="7944" width="0" style="28" hidden="1" customWidth="1"/>
    <col min="7945" max="7945" width="16.7109375" style="28" customWidth="1"/>
    <col min="7946" max="7953" width="14.5703125" style="28" customWidth="1"/>
    <col min="7954" max="7954" width="24.28515625" style="28" customWidth="1"/>
    <col min="7955" max="7955" width="25.7109375" style="28" customWidth="1"/>
    <col min="7956" max="7956" width="5.28515625" style="28" customWidth="1"/>
    <col min="7957" max="7977" width="0" style="28" hidden="1" customWidth="1"/>
    <col min="7978" max="8192" width="9.28515625" style="28"/>
    <col min="8193" max="8193" width="5.28515625" style="28" customWidth="1"/>
    <col min="8194" max="8194" width="17.7109375" style="28" customWidth="1"/>
    <col min="8195" max="8195" width="35.28515625" style="28" customWidth="1"/>
    <col min="8196" max="8200" width="0" style="28" hidden="1" customWidth="1"/>
    <col min="8201" max="8201" width="16.7109375" style="28" customWidth="1"/>
    <col min="8202" max="8209" width="14.5703125" style="28" customWidth="1"/>
    <col min="8210" max="8210" width="24.28515625" style="28" customWidth="1"/>
    <col min="8211" max="8211" width="25.7109375" style="28" customWidth="1"/>
    <col min="8212" max="8212" width="5.28515625" style="28" customWidth="1"/>
    <col min="8213" max="8233" width="0" style="28" hidden="1" customWidth="1"/>
    <col min="8234" max="8448" width="9.28515625" style="28"/>
    <col min="8449" max="8449" width="5.28515625" style="28" customWidth="1"/>
    <col min="8450" max="8450" width="17.7109375" style="28" customWidth="1"/>
    <col min="8451" max="8451" width="35.28515625" style="28" customWidth="1"/>
    <col min="8452" max="8456" width="0" style="28" hidden="1" customWidth="1"/>
    <col min="8457" max="8457" width="16.7109375" style="28" customWidth="1"/>
    <col min="8458" max="8465" width="14.5703125" style="28" customWidth="1"/>
    <col min="8466" max="8466" width="24.28515625" style="28" customWidth="1"/>
    <col min="8467" max="8467" width="25.7109375" style="28" customWidth="1"/>
    <col min="8468" max="8468" width="5.28515625" style="28" customWidth="1"/>
    <col min="8469" max="8489" width="0" style="28" hidden="1" customWidth="1"/>
    <col min="8490" max="8704" width="9.28515625" style="28"/>
    <col min="8705" max="8705" width="5.28515625" style="28" customWidth="1"/>
    <col min="8706" max="8706" width="17.7109375" style="28" customWidth="1"/>
    <col min="8707" max="8707" width="35.28515625" style="28" customWidth="1"/>
    <col min="8708" max="8712" width="0" style="28" hidden="1" customWidth="1"/>
    <col min="8713" max="8713" width="16.7109375" style="28" customWidth="1"/>
    <col min="8714" max="8721" width="14.5703125" style="28" customWidth="1"/>
    <col min="8722" max="8722" width="24.28515625" style="28" customWidth="1"/>
    <col min="8723" max="8723" width="25.7109375" style="28" customWidth="1"/>
    <col min="8724" max="8724" width="5.28515625" style="28" customWidth="1"/>
    <col min="8725" max="8745" width="0" style="28" hidden="1" customWidth="1"/>
    <col min="8746" max="8960" width="9.28515625" style="28"/>
    <col min="8961" max="8961" width="5.28515625" style="28" customWidth="1"/>
    <col min="8962" max="8962" width="17.7109375" style="28" customWidth="1"/>
    <col min="8963" max="8963" width="35.28515625" style="28" customWidth="1"/>
    <col min="8964" max="8968" width="0" style="28" hidden="1" customWidth="1"/>
    <col min="8969" max="8969" width="16.7109375" style="28" customWidth="1"/>
    <col min="8970" max="8977" width="14.5703125" style="28" customWidth="1"/>
    <col min="8978" max="8978" width="24.28515625" style="28" customWidth="1"/>
    <col min="8979" max="8979" width="25.7109375" style="28" customWidth="1"/>
    <col min="8980" max="8980" width="5.28515625" style="28" customWidth="1"/>
    <col min="8981" max="9001" width="0" style="28" hidden="1" customWidth="1"/>
    <col min="9002" max="9216" width="9.28515625" style="28"/>
    <col min="9217" max="9217" width="5.28515625" style="28" customWidth="1"/>
    <col min="9218" max="9218" width="17.7109375" style="28" customWidth="1"/>
    <col min="9219" max="9219" width="35.28515625" style="28" customWidth="1"/>
    <col min="9220" max="9224" width="0" style="28" hidden="1" customWidth="1"/>
    <col min="9225" max="9225" width="16.7109375" style="28" customWidth="1"/>
    <col min="9226" max="9233" width="14.5703125" style="28" customWidth="1"/>
    <col min="9234" max="9234" width="24.28515625" style="28" customWidth="1"/>
    <col min="9235" max="9235" width="25.7109375" style="28" customWidth="1"/>
    <col min="9236" max="9236" width="5.28515625" style="28" customWidth="1"/>
    <col min="9237" max="9257" width="0" style="28" hidden="1" customWidth="1"/>
    <col min="9258" max="9472" width="9.28515625" style="28"/>
    <col min="9473" max="9473" width="5.28515625" style="28" customWidth="1"/>
    <col min="9474" max="9474" width="17.7109375" style="28" customWidth="1"/>
    <col min="9475" max="9475" width="35.28515625" style="28" customWidth="1"/>
    <col min="9476" max="9480" width="0" style="28" hidden="1" customWidth="1"/>
    <col min="9481" max="9481" width="16.7109375" style="28" customWidth="1"/>
    <col min="9482" max="9489" width="14.5703125" style="28" customWidth="1"/>
    <col min="9490" max="9490" width="24.28515625" style="28" customWidth="1"/>
    <col min="9491" max="9491" width="25.7109375" style="28" customWidth="1"/>
    <col min="9492" max="9492" width="5.28515625" style="28" customWidth="1"/>
    <col min="9493" max="9513" width="0" style="28" hidden="1" customWidth="1"/>
    <col min="9514" max="9728" width="9.28515625" style="28"/>
    <col min="9729" max="9729" width="5.28515625" style="28" customWidth="1"/>
    <col min="9730" max="9730" width="17.7109375" style="28" customWidth="1"/>
    <col min="9731" max="9731" width="35.28515625" style="28" customWidth="1"/>
    <col min="9732" max="9736" width="0" style="28" hidden="1" customWidth="1"/>
    <col min="9737" max="9737" width="16.7109375" style="28" customWidth="1"/>
    <col min="9738" max="9745" width="14.5703125" style="28" customWidth="1"/>
    <col min="9746" max="9746" width="24.28515625" style="28" customWidth="1"/>
    <col min="9747" max="9747" width="25.7109375" style="28" customWidth="1"/>
    <col min="9748" max="9748" width="5.28515625" style="28" customWidth="1"/>
    <col min="9749" max="9769" width="0" style="28" hidden="1" customWidth="1"/>
    <col min="9770" max="9984" width="9.28515625" style="28"/>
    <col min="9985" max="9985" width="5.28515625" style="28" customWidth="1"/>
    <col min="9986" max="9986" width="17.7109375" style="28" customWidth="1"/>
    <col min="9987" max="9987" width="35.28515625" style="28" customWidth="1"/>
    <col min="9988" max="9992" width="0" style="28" hidden="1" customWidth="1"/>
    <col min="9993" max="9993" width="16.7109375" style="28" customWidth="1"/>
    <col min="9994" max="10001" width="14.5703125" style="28" customWidth="1"/>
    <col min="10002" max="10002" width="24.28515625" style="28" customWidth="1"/>
    <col min="10003" max="10003" width="25.7109375" style="28" customWidth="1"/>
    <col min="10004" max="10004" width="5.28515625" style="28" customWidth="1"/>
    <col min="10005" max="10025" width="0" style="28" hidden="1" customWidth="1"/>
    <col min="10026" max="10240" width="9.28515625" style="28"/>
    <col min="10241" max="10241" width="5.28515625" style="28" customWidth="1"/>
    <col min="10242" max="10242" width="17.7109375" style="28" customWidth="1"/>
    <col min="10243" max="10243" width="35.28515625" style="28" customWidth="1"/>
    <col min="10244" max="10248" width="0" style="28" hidden="1" customWidth="1"/>
    <col min="10249" max="10249" width="16.7109375" style="28" customWidth="1"/>
    <col min="10250" max="10257" width="14.5703125" style="28" customWidth="1"/>
    <col min="10258" max="10258" width="24.28515625" style="28" customWidth="1"/>
    <col min="10259" max="10259" width="25.7109375" style="28" customWidth="1"/>
    <col min="10260" max="10260" width="5.28515625" style="28" customWidth="1"/>
    <col min="10261" max="10281" width="0" style="28" hidden="1" customWidth="1"/>
    <col min="10282" max="10496" width="9.28515625" style="28"/>
    <col min="10497" max="10497" width="5.28515625" style="28" customWidth="1"/>
    <col min="10498" max="10498" width="17.7109375" style="28" customWidth="1"/>
    <col min="10499" max="10499" width="35.28515625" style="28" customWidth="1"/>
    <col min="10500" max="10504" width="0" style="28" hidden="1" customWidth="1"/>
    <col min="10505" max="10505" width="16.7109375" style="28" customWidth="1"/>
    <col min="10506" max="10513" width="14.5703125" style="28" customWidth="1"/>
    <col min="10514" max="10514" width="24.28515625" style="28" customWidth="1"/>
    <col min="10515" max="10515" width="25.7109375" style="28" customWidth="1"/>
    <col min="10516" max="10516" width="5.28515625" style="28" customWidth="1"/>
    <col min="10517" max="10537" width="0" style="28" hidden="1" customWidth="1"/>
    <col min="10538" max="10752" width="9.28515625" style="28"/>
    <col min="10753" max="10753" width="5.28515625" style="28" customWidth="1"/>
    <col min="10754" max="10754" width="17.7109375" style="28" customWidth="1"/>
    <col min="10755" max="10755" width="35.28515625" style="28" customWidth="1"/>
    <col min="10756" max="10760" width="0" style="28" hidden="1" customWidth="1"/>
    <col min="10761" max="10761" width="16.7109375" style="28" customWidth="1"/>
    <col min="10762" max="10769" width="14.5703125" style="28" customWidth="1"/>
    <col min="10770" max="10770" width="24.28515625" style="28" customWidth="1"/>
    <col min="10771" max="10771" width="25.7109375" style="28" customWidth="1"/>
    <col min="10772" max="10772" width="5.28515625" style="28" customWidth="1"/>
    <col min="10773" max="10793" width="0" style="28" hidden="1" customWidth="1"/>
    <col min="10794" max="11008" width="9.28515625" style="28"/>
    <col min="11009" max="11009" width="5.28515625" style="28" customWidth="1"/>
    <col min="11010" max="11010" width="17.7109375" style="28" customWidth="1"/>
    <col min="11011" max="11011" width="35.28515625" style="28" customWidth="1"/>
    <col min="11012" max="11016" width="0" style="28" hidden="1" customWidth="1"/>
    <col min="11017" max="11017" width="16.7109375" style="28" customWidth="1"/>
    <col min="11018" max="11025" width="14.5703125" style="28" customWidth="1"/>
    <col min="11026" max="11026" width="24.28515625" style="28" customWidth="1"/>
    <col min="11027" max="11027" width="25.7109375" style="28" customWidth="1"/>
    <col min="11028" max="11028" width="5.28515625" style="28" customWidth="1"/>
    <col min="11029" max="11049" width="0" style="28" hidden="1" customWidth="1"/>
    <col min="11050" max="11264" width="9.28515625" style="28"/>
    <col min="11265" max="11265" width="5.28515625" style="28" customWidth="1"/>
    <col min="11266" max="11266" width="17.7109375" style="28" customWidth="1"/>
    <col min="11267" max="11267" width="35.28515625" style="28" customWidth="1"/>
    <col min="11268" max="11272" width="0" style="28" hidden="1" customWidth="1"/>
    <col min="11273" max="11273" width="16.7109375" style="28" customWidth="1"/>
    <col min="11274" max="11281" width="14.5703125" style="28" customWidth="1"/>
    <col min="11282" max="11282" width="24.28515625" style="28" customWidth="1"/>
    <col min="11283" max="11283" width="25.7109375" style="28" customWidth="1"/>
    <col min="11284" max="11284" width="5.28515625" style="28" customWidth="1"/>
    <col min="11285" max="11305" width="0" style="28" hidden="1" customWidth="1"/>
    <col min="11306" max="11520" width="9.28515625" style="28"/>
    <col min="11521" max="11521" width="5.28515625" style="28" customWidth="1"/>
    <col min="11522" max="11522" width="17.7109375" style="28" customWidth="1"/>
    <col min="11523" max="11523" width="35.28515625" style="28" customWidth="1"/>
    <col min="11524" max="11528" width="0" style="28" hidden="1" customWidth="1"/>
    <col min="11529" max="11529" width="16.7109375" style="28" customWidth="1"/>
    <col min="11530" max="11537" width="14.5703125" style="28" customWidth="1"/>
    <col min="11538" max="11538" width="24.28515625" style="28" customWidth="1"/>
    <col min="11539" max="11539" width="25.7109375" style="28" customWidth="1"/>
    <col min="11540" max="11540" width="5.28515625" style="28" customWidth="1"/>
    <col min="11541" max="11561" width="0" style="28" hidden="1" customWidth="1"/>
    <col min="11562" max="11776" width="9.28515625" style="28"/>
    <col min="11777" max="11777" width="5.28515625" style="28" customWidth="1"/>
    <col min="11778" max="11778" width="17.7109375" style="28" customWidth="1"/>
    <col min="11779" max="11779" width="35.28515625" style="28" customWidth="1"/>
    <col min="11780" max="11784" width="0" style="28" hidden="1" customWidth="1"/>
    <col min="11785" max="11785" width="16.7109375" style="28" customWidth="1"/>
    <col min="11786" max="11793" width="14.5703125" style="28" customWidth="1"/>
    <col min="11794" max="11794" width="24.28515625" style="28" customWidth="1"/>
    <col min="11795" max="11795" width="25.7109375" style="28" customWidth="1"/>
    <col min="11796" max="11796" width="5.28515625" style="28" customWidth="1"/>
    <col min="11797" max="11817" width="0" style="28" hidden="1" customWidth="1"/>
    <col min="11818" max="12032" width="9.28515625" style="28"/>
    <col min="12033" max="12033" width="5.28515625" style="28" customWidth="1"/>
    <col min="12034" max="12034" width="17.7109375" style="28" customWidth="1"/>
    <col min="12035" max="12035" width="35.28515625" style="28" customWidth="1"/>
    <col min="12036" max="12040" width="0" style="28" hidden="1" customWidth="1"/>
    <col min="12041" max="12041" width="16.7109375" style="28" customWidth="1"/>
    <col min="12042" max="12049" width="14.5703125" style="28" customWidth="1"/>
    <col min="12050" max="12050" width="24.28515625" style="28" customWidth="1"/>
    <col min="12051" max="12051" width="25.7109375" style="28" customWidth="1"/>
    <col min="12052" max="12052" width="5.28515625" style="28" customWidth="1"/>
    <col min="12053" max="12073" width="0" style="28" hidden="1" customWidth="1"/>
    <col min="12074" max="12288" width="9.28515625" style="28"/>
    <col min="12289" max="12289" width="5.28515625" style="28" customWidth="1"/>
    <col min="12290" max="12290" width="17.7109375" style="28" customWidth="1"/>
    <col min="12291" max="12291" width="35.28515625" style="28" customWidth="1"/>
    <col min="12292" max="12296" width="0" style="28" hidden="1" customWidth="1"/>
    <col min="12297" max="12297" width="16.7109375" style="28" customWidth="1"/>
    <col min="12298" max="12305" width="14.5703125" style="28" customWidth="1"/>
    <col min="12306" max="12306" width="24.28515625" style="28" customWidth="1"/>
    <col min="12307" max="12307" width="25.7109375" style="28" customWidth="1"/>
    <col min="12308" max="12308" width="5.28515625" style="28" customWidth="1"/>
    <col min="12309" max="12329" width="0" style="28" hidden="1" customWidth="1"/>
    <col min="12330" max="12544" width="9.28515625" style="28"/>
    <col min="12545" max="12545" width="5.28515625" style="28" customWidth="1"/>
    <col min="12546" max="12546" width="17.7109375" style="28" customWidth="1"/>
    <col min="12547" max="12547" width="35.28515625" style="28" customWidth="1"/>
    <col min="12548" max="12552" width="0" style="28" hidden="1" customWidth="1"/>
    <col min="12553" max="12553" width="16.7109375" style="28" customWidth="1"/>
    <col min="12554" max="12561" width="14.5703125" style="28" customWidth="1"/>
    <col min="12562" max="12562" width="24.28515625" style="28" customWidth="1"/>
    <col min="12563" max="12563" width="25.7109375" style="28" customWidth="1"/>
    <col min="12564" max="12564" width="5.28515625" style="28" customWidth="1"/>
    <col min="12565" max="12585" width="0" style="28" hidden="1" customWidth="1"/>
    <col min="12586" max="12800" width="9.28515625" style="28"/>
    <col min="12801" max="12801" width="5.28515625" style="28" customWidth="1"/>
    <col min="12802" max="12802" width="17.7109375" style="28" customWidth="1"/>
    <col min="12803" max="12803" width="35.28515625" style="28" customWidth="1"/>
    <col min="12804" max="12808" width="0" style="28" hidden="1" customWidth="1"/>
    <col min="12809" max="12809" width="16.7109375" style="28" customWidth="1"/>
    <col min="12810" max="12817" width="14.5703125" style="28" customWidth="1"/>
    <col min="12818" max="12818" width="24.28515625" style="28" customWidth="1"/>
    <col min="12819" max="12819" width="25.7109375" style="28" customWidth="1"/>
    <col min="12820" max="12820" width="5.28515625" style="28" customWidth="1"/>
    <col min="12821" max="12841" width="0" style="28" hidden="1" customWidth="1"/>
    <col min="12842" max="13056" width="9.28515625" style="28"/>
    <col min="13057" max="13057" width="5.28515625" style="28" customWidth="1"/>
    <col min="13058" max="13058" width="17.7109375" style="28" customWidth="1"/>
    <col min="13059" max="13059" width="35.28515625" style="28" customWidth="1"/>
    <col min="13060" max="13064" width="0" style="28" hidden="1" customWidth="1"/>
    <col min="13065" max="13065" width="16.7109375" style="28" customWidth="1"/>
    <col min="13066" max="13073" width="14.5703125" style="28" customWidth="1"/>
    <col min="13074" max="13074" width="24.28515625" style="28" customWidth="1"/>
    <col min="13075" max="13075" width="25.7109375" style="28" customWidth="1"/>
    <col min="13076" max="13076" width="5.28515625" style="28" customWidth="1"/>
    <col min="13077" max="13097" width="0" style="28" hidden="1" customWidth="1"/>
    <col min="13098" max="13312" width="9.28515625" style="28"/>
    <col min="13313" max="13313" width="5.28515625" style="28" customWidth="1"/>
    <col min="13314" max="13314" width="17.7109375" style="28" customWidth="1"/>
    <col min="13315" max="13315" width="35.28515625" style="28" customWidth="1"/>
    <col min="13316" max="13320" width="0" style="28" hidden="1" customWidth="1"/>
    <col min="13321" max="13321" width="16.7109375" style="28" customWidth="1"/>
    <col min="13322" max="13329" width="14.5703125" style="28" customWidth="1"/>
    <col min="13330" max="13330" width="24.28515625" style="28" customWidth="1"/>
    <col min="13331" max="13331" width="25.7109375" style="28" customWidth="1"/>
    <col min="13332" max="13332" width="5.28515625" style="28" customWidth="1"/>
    <col min="13333" max="13353" width="0" style="28" hidden="1" customWidth="1"/>
    <col min="13354" max="13568" width="9.28515625" style="28"/>
    <col min="13569" max="13569" width="5.28515625" style="28" customWidth="1"/>
    <col min="13570" max="13570" width="17.7109375" style="28" customWidth="1"/>
    <col min="13571" max="13571" width="35.28515625" style="28" customWidth="1"/>
    <col min="13572" max="13576" width="0" style="28" hidden="1" customWidth="1"/>
    <col min="13577" max="13577" width="16.7109375" style="28" customWidth="1"/>
    <col min="13578" max="13585" width="14.5703125" style="28" customWidth="1"/>
    <col min="13586" max="13586" width="24.28515625" style="28" customWidth="1"/>
    <col min="13587" max="13587" width="25.7109375" style="28" customWidth="1"/>
    <col min="13588" max="13588" width="5.28515625" style="28" customWidth="1"/>
    <col min="13589" max="13609" width="0" style="28" hidden="1" customWidth="1"/>
    <col min="13610" max="13824" width="9.28515625" style="28"/>
    <col min="13825" max="13825" width="5.28515625" style="28" customWidth="1"/>
    <col min="13826" max="13826" width="17.7109375" style="28" customWidth="1"/>
    <col min="13827" max="13827" width="35.28515625" style="28" customWidth="1"/>
    <col min="13828" max="13832" width="0" style="28" hidden="1" customWidth="1"/>
    <col min="13833" max="13833" width="16.7109375" style="28" customWidth="1"/>
    <col min="13834" max="13841" width="14.5703125" style="28" customWidth="1"/>
    <col min="13842" max="13842" width="24.28515625" style="28" customWidth="1"/>
    <col min="13843" max="13843" width="25.7109375" style="28" customWidth="1"/>
    <col min="13844" max="13844" width="5.28515625" style="28" customWidth="1"/>
    <col min="13845" max="13865" width="0" style="28" hidden="1" customWidth="1"/>
    <col min="13866" max="14080" width="9.28515625" style="28"/>
    <col min="14081" max="14081" width="5.28515625" style="28" customWidth="1"/>
    <col min="14082" max="14082" width="17.7109375" style="28" customWidth="1"/>
    <col min="14083" max="14083" width="35.28515625" style="28" customWidth="1"/>
    <col min="14084" max="14088" width="0" style="28" hidden="1" customWidth="1"/>
    <col min="14089" max="14089" width="16.7109375" style="28" customWidth="1"/>
    <col min="14090" max="14097" width="14.5703125" style="28" customWidth="1"/>
    <col min="14098" max="14098" width="24.28515625" style="28" customWidth="1"/>
    <col min="14099" max="14099" width="25.7109375" style="28" customWidth="1"/>
    <col min="14100" max="14100" width="5.28515625" style="28" customWidth="1"/>
    <col min="14101" max="14121" width="0" style="28" hidden="1" customWidth="1"/>
    <col min="14122" max="14336" width="9.28515625" style="28"/>
    <col min="14337" max="14337" width="5.28515625" style="28" customWidth="1"/>
    <col min="14338" max="14338" width="17.7109375" style="28" customWidth="1"/>
    <col min="14339" max="14339" width="35.28515625" style="28" customWidth="1"/>
    <col min="14340" max="14344" width="0" style="28" hidden="1" customWidth="1"/>
    <col min="14345" max="14345" width="16.7109375" style="28" customWidth="1"/>
    <col min="14346" max="14353" width="14.5703125" style="28" customWidth="1"/>
    <col min="14354" max="14354" width="24.28515625" style="28" customWidth="1"/>
    <col min="14355" max="14355" width="25.7109375" style="28" customWidth="1"/>
    <col min="14356" max="14356" width="5.28515625" style="28" customWidth="1"/>
    <col min="14357" max="14377" width="0" style="28" hidden="1" customWidth="1"/>
    <col min="14378" max="14592" width="9.28515625" style="28"/>
    <col min="14593" max="14593" width="5.28515625" style="28" customWidth="1"/>
    <col min="14594" max="14594" width="17.7109375" style="28" customWidth="1"/>
    <col min="14595" max="14595" width="35.28515625" style="28" customWidth="1"/>
    <col min="14596" max="14600" width="0" style="28" hidden="1" customWidth="1"/>
    <col min="14601" max="14601" width="16.7109375" style="28" customWidth="1"/>
    <col min="14602" max="14609" width="14.5703125" style="28" customWidth="1"/>
    <col min="14610" max="14610" width="24.28515625" style="28" customWidth="1"/>
    <col min="14611" max="14611" width="25.7109375" style="28" customWidth="1"/>
    <col min="14612" max="14612" width="5.28515625" style="28" customWidth="1"/>
    <col min="14613" max="14633" width="0" style="28" hidden="1" customWidth="1"/>
    <col min="14634" max="14848" width="9.28515625" style="28"/>
    <col min="14849" max="14849" width="5.28515625" style="28" customWidth="1"/>
    <col min="14850" max="14850" width="17.7109375" style="28" customWidth="1"/>
    <col min="14851" max="14851" width="35.28515625" style="28" customWidth="1"/>
    <col min="14852" max="14856" width="0" style="28" hidden="1" customWidth="1"/>
    <col min="14857" max="14857" width="16.7109375" style="28" customWidth="1"/>
    <col min="14858" max="14865" width="14.5703125" style="28" customWidth="1"/>
    <col min="14866" max="14866" width="24.28515625" style="28" customWidth="1"/>
    <col min="14867" max="14867" width="25.7109375" style="28" customWidth="1"/>
    <col min="14868" max="14868" width="5.28515625" style="28" customWidth="1"/>
    <col min="14869" max="14889" width="0" style="28" hidden="1" customWidth="1"/>
    <col min="14890" max="15104" width="9.28515625" style="28"/>
    <col min="15105" max="15105" width="5.28515625" style="28" customWidth="1"/>
    <col min="15106" max="15106" width="17.7109375" style="28" customWidth="1"/>
    <col min="15107" max="15107" width="35.28515625" style="28" customWidth="1"/>
    <col min="15108" max="15112" width="0" style="28" hidden="1" customWidth="1"/>
    <col min="15113" max="15113" width="16.7109375" style="28" customWidth="1"/>
    <col min="15114" max="15121" width="14.5703125" style="28" customWidth="1"/>
    <col min="15122" max="15122" width="24.28515625" style="28" customWidth="1"/>
    <col min="15123" max="15123" width="25.7109375" style="28" customWidth="1"/>
    <col min="15124" max="15124" width="5.28515625" style="28" customWidth="1"/>
    <col min="15125" max="15145" width="0" style="28" hidden="1" customWidth="1"/>
    <col min="15146" max="15360" width="9.28515625" style="28"/>
    <col min="15361" max="15361" width="5.28515625" style="28" customWidth="1"/>
    <col min="15362" max="15362" width="17.7109375" style="28" customWidth="1"/>
    <col min="15363" max="15363" width="35.28515625" style="28" customWidth="1"/>
    <col min="15364" max="15368" width="0" style="28" hidden="1" customWidth="1"/>
    <col min="15369" max="15369" width="16.7109375" style="28" customWidth="1"/>
    <col min="15370" max="15377" width="14.5703125" style="28" customWidth="1"/>
    <col min="15378" max="15378" width="24.28515625" style="28" customWidth="1"/>
    <col min="15379" max="15379" width="25.7109375" style="28" customWidth="1"/>
    <col min="15380" max="15380" width="5.28515625" style="28" customWidth="1"/>
    <col min="15381" max="15401" width="0" style="28" hidden="1" customWidth="1"/>
    <col min="15402" max="15616" width="9.28515625" style="28"/>
    <col min="15617" max="15617" width="5.28515625" style="28" customWidth="1"/>
    <col min="15618" max="15618" width="17.7109375" style="28" customWidth="1"/>
    <col min="15619" max="15619" width="35.28515625" style="28" customWidth="1"/>
    <col min="15620" max="15624" width="0" style="28" hidden="1" customWidth="1"/>
    <col min="15625" max="15625" width="16.7109375" style="28" customWidth="1"/>
    <col min="15626" max="15633" width="14.5703125" style="28" customWidth="1"/>
    <col min="15634" max="15634" width="24.28515625" style="28" customWidth="1"/>
    <col min="15635" max="15635" width="25.7109375" style="28" customWidth="1"/>
    <col min="15636" max="15636" width="5.28515625" style="28" customWidth="1"/>
    <col min="15637" max="15657" width="0" style="28" hidden="1" customWidth="1"/>
    <col min="15658" max="15872" width="9.28515625" style="28"/>
    <col min="15873" max="15873" width="5.28515625" style="28" customWidth="1"/>
    <col min="15874" max="15874" width="17.7109375" style="28" customWidth="1"/>
    <col min="15875" max="15875" width="35.28515625" style="28" customWidth="1"/>
    <col min="15876" max="15880" width="0" style="28" hidden="1" customWidth="1"/>
    <col min="15881" max="15881" width="16.7109375" style="28" customWidth="1"/>
    <col min="15882" max="15889" width="14.5703125" style="28" customWidth="1"/>
    <col min="15890" max="15890" width="24.28515625" style="28" customWidth="1"/>
    <col min="15891" max="15891" width="25.7109375" style="28" customWidth="1"/>
    <col min="15892" max="15892" width="5.28515625" style="28" customWidth="1"/>
    <col min="15893" max="15913" width="0" style="28" hidden="1" customWidth="1"/>
    <col min="15914" max="16128" width="9.28515625" style="28"/>
    <col min="16129" max="16129" width="5.28515625" style="28" customWidth="1"/>
    <col min="16130" max="16130" width="17.7109375" style="28" customWidth="1"/>
    <col min="16131" max="16131" width="35.28515625" style="28" customWidth="1"/>
    <col min="16132" max="16136" width="0" style="28" hidden="1" customWidth="1"/>
    <col min="16137" max="16137" width="16.7109375" style="28" customWidth="1"/>
    <col min="16138" max="16145" width="14.5703125" style="28" customWidth="1"/>
    <col min="16146" max="16146" width="24.28515625" style="28" customWidth="1"/>
    <col min="16147" max="16147" width="25.7109375" style="28" customWidth="1"/>
    <col min="16148" max="16148" width="5.28515625" style="28" customWidth="1"/>
    <col min="16149" max="16169" width="0" style="28" hidden="1" customWidth="1"/>
    <col min="16170" max="16384" width="9.28515625" style="28"/>
  </cols>
  <sheetData>
    <row r="1" spans="1:41" ht="27" customHeight="1" x14ac:dyDescent="0.3">
      <c r="A1" s="27" t="s">
        <v>247</v>
      </c>
    </row>
    <row r="2" spans="1:41" s="30" customFormat="1" ht="27.75" customHeight="1" x14ac:dyDescent="0.25">
      <c r="A2" s="30" t="s">
        <v>248</v>
      </c>
      <c r="B2" s="285">
        <v>43458</v>
      </c>
      <c r="C2" s="285"/>
      <c r="D2" s="31"/>
      <c r="E2" s="31"/>
      <c r="F2" s="31"/>
      <c r="G2" s="31"/>
      <c r="H2" s="31"/>
      <c r="I2" s="32"/>
      <c r="J2" s="32"/>
      <c r="K2" s="32"/>
      <c r="L2" s="32"/>
      <c r="M2" s="32"/>
      <c r="N2" s="32"/>
      <c r="O2" s="32"/>
      <c r="P2" s="32"/>
      <c r="Q2" s="32"/>
      <c r="R2" s="32"/>
      <c r="S2" s="32"/>
      <c r="T2" s="32"/>
      <c r="U2" s="33"/>
      <c r="V2" s="34"/>
      <c r="W2" s="34"/>
      <c r="X2" s="34"/>
      <c r="Y2" s="34"/>
      <c r="Z2" s="34"/>
      <c r="AA2" s="35"/>
      <c r="AC2" s="36"/>
      <c r="AD2" s="36"/>
      <c r="AE2" s="35"/>
      <c r="AF2" s="35"/>
      <c r="AG2" s="35"/>
      <c r="AM2" s="34"/>
      <c r="AN2" s="34"/>
      <c r="AO2" s="34"/>
    </row>
    <row r="3" spans="1:41" s="30" customFormat="1" ht="28.5" customHeight="1" x14ac:dyDescent="0.25">
      <c r="A3" s="30" t="s">
        <v>249</v>
      </c>
      <c r="B3" s="37">
        <v>4020</v>
      </c>
      <c r="C3" s="30" t="s">
        <v>250</v>
      </c>
      <c r="H3" s="35"/>
      <c r="I3" s="32"/>
      <c r="J3" s="32"/>
      <c r="K3" s="32"/>
      <c r="L3" s="32"/>
      <c r="M3" s="32"/>
      <c r="N3" s="32"/>
      <c r="O3" s="32"/>
      <c r="P3" s="32"/>
      <c r="Q3" s="32"/>
      <c r="R3" s="32"/>
      <c r="S3" s="32"/>
      <c r="T3" s="32"/>
      <c r="U3" s="34"/>
      <c r="V3" s="34"/>
      <c r="W3" s="34"/>
      <c r="X3" s="34"/>
      <c r="Y3" s="34"/>
      <c r="Z3" s="34"/>
      <c r="AA3" s="35"/>
      <c r="AM3" s="34"/>
      <c r="AN3" s="34"/>
      <c r="AO3" s="34"/>
    </row>
    <row r="4" spans="1:41" s="30" customFormat="1" ht="17.25" customHeight="1" x14ac:dyDescent="0.25">
      <c r="I4" s="32"/>
      <c r="J4" s="32"/>
      <c r="K4" s="32"/>
      <c r="L4" s="32"/>
      <c r="M4" s="32"/>
      <c r="N4" s="32"/>
      <c r="O4" s="32"/>
      <c r="P4" s="32"/>
      <c r="Q4" s="32"/>
      <c r="R4" s="32"/>
      <c r="S4" s="32"/>
      <c r="T4" s="32"/>
      <c r="U4" s="32"/>
      <c r="V4" s="35"/>
      <c r="W4" s="36"/>
      <c r="Z4" s="35"/>
      <c r="AA4" s="35"/>
      <c r="AM4" s="34"/>
      <c r="AN4" s="34"/>
      <c r="AO4" s="34"/>
    </row>
    <row r="5" spans="1:41" s="30" customFormat="1" ht="17.25" customHeight="1" x14ac:dyDescent="0.25">
      <c r="I5" s="30">
        <v>12</v>
      </c>
      <c r="Q5" s="30" t="s">
        <v>240</v>
      </c>
      <c r="R5" s="30">
        <v>4000</v>
      </c>
      <c r="W5" s="286" t="s">
        <v>251</v>
      </c>
      <c r="X5" s="286"/>
      <c r="Y5" s="286"/>
      <c r="Z5" s="38" t="s">
        <v>252</v>
      </c>
      <c r="AA5" s="38" t="s">
        <v>253</v>
      </c>
      <c r="AB5" s="38" t="s">
        <v>254</v>
      </c>
      <c r="AC5" s="287" t="s">
        <v>255</v>
      </c>
      <c r="AD5" s="287"/>
      <c r="AE5" s="38" t="s">
        <v>256</v>
      </c>
      <c r="AF5" s="38" t="s">
        <v>256</v>
      </c>
      <c r="AG5" s="38"/>
      <c r="AH5" s="288"/>
      <c r="AI5" s="289"/>
      <c r="AJ5" s="39"/>
      <c r="AK5" s="290" t="s">
        <v>257</v>
      </c>
      <c r="AM5" s="34"/>
      <c r="AN5" s="34"/>
      <c r="AO5" s="34"/>
    </row>
    <row r="6" spans="1:41" s="30" customFormat="1" ht="11.25" customHeight="1" x14ac:dyDescent="0.25">
      <c r="W6" s="40"/>
      <c r="X6" s="40"/>
      <c r="Y6" s="40"/>
      <c r="Z6" s="41"/>
      <c r="AA6" s="41"/>
      <c r="AB6" s="41"/>
      <c r="AC6" s="41"/>
      <c r="AD6" s="41"/>
      <c r="AE6" s="41"/>
      <c r="AF6" s="41"/>
      <c r="AG6" s="41"/>
      <c r="AH6" s="41"/>
      <c r="AI6" s="41"/>
      <c r="AJ6" s="39"/>
      <c r="AK6" s="291"/>
      <c r="AM6" s="34"/>
      <c r="AN6" s="34"/>
      <c r="AO6" s="34"/>
    </row>
    <row r="7" spans="1:41" s="30" customFormat="1" ht="16.5" customHeight="1" x14ac:dyDescent="0.25">
      <c r="A7" s="279" t="s">
        <v>258</v>
      </c>
      <c r="B7" s="38" t="s">
        <v>259</v>
      </c>
      <c r="C7" s="38" t="s">
        <v>260</v>
      </c>
      <c r="D7" s="38" t="s">
        <v>261</v>
      </c>
      <c r="E7" s="38" t="s">
        <v>262</v>
      </c>
      <c r="F7" s="38" t="s">
        <v>263</v>
      </c>
      <c r="G7" s="38" t="s">
        <v>264</v>
      </c>
      <c r="H7" s="38" t="s">
        <v>265</v>
      </c>
      <c r="I7" s="42" t="s">
        <v>266</v>
      </c>
      <c r="J7" s="42"/>
      <c r="K7" s="42"/>
      <c r="L7" s="42"/>
      <c r="M7" s="42"/>
      <c r="N7" s="42"/>
      <c r="O7" s="42"/>
      <c r="P7" s="42"/>
      <c r="Q7" s="42"/>
      <c r="R7" s="42"/>
      <c r="S7" s="42"/>
      <c r="T7" s="42"/>
      <c r="U7" s="43" t="s">
        <v>267</v>
      </c>
      <c r="V7" s="44" t="s">
        <v>268</v>
      </c>
      <c r="W7" s="281" t="s">
        <v>269</v>
      </c>
      <c r="X7" s="281"/>
      <c r="Y7" s="281"/>
      <c r="Z7" s="45" t="s">
        <v>270</v>
      </c>
      <c r="AA7" s="45" t="s">
        <v>271</v>
      </c>
      <c r="AB7" s="45" t="s">
        <v>272</v>
      </c>
      <c r="AC7" s="282" t="s">
        <v>273</v>
      </c>
      <c r="AD7" s="282"/>
      <c r="AE7" s="45" t="s">
        <v>268</v>
      </c>
      <c r="AF7" s="45" t="s">
        <v>268</v>
      </c>
      <c r="AG7" s="45"/>
      <c r="AH7" s="283"/>
      <c r="AI7" s="284"/>
      <c r="AK7" s="292"/>
      <c r="AM7" s="34"/>
      <c r="AN7" s="34"/>
      <c r="AO7" s="34"/>
    </row>
    <row r="8" spans="1:41" s="30" customFormat="1" ht="16.5" customHeight="1" x14ac:dyDescent="0.25">
      <c r="A8" s="280"/>
      <c r="B8" s="41" t="s">
        <v>274</v>
      </c>
      <c r="C8" s="41" t="s">
        <v>275</v>
      </c>
      <c r="D8" s="41" t="s">
        <v>265</v>
      </c>
      <c r="E8" s="41" t="s">
        <v>276</v>
      </c>
      <c r="F8" s="41">
        <v>2018</v>
      </c>
      <c r="G8" s="41" t="s">
        <v>277</v>
      </c>
      <c r="H8" s="41" t="s">
        <v>278</v>
      </c>
      <c r="I8" s="38" t="s">
        <v>279</v>
      </c>
      <c r="J8" s="38" t="s">
        <v>280</v>
      </c>
      <c r="K8" s="38" t="s">
        <v>281</v>
      </c>
      <c r="L8" s="38" t="s">
        <v>264</v>
      </c>
      <c r="M8" s="38" t="s">
        <v>282</v>
      </c>
      <c r="N8" s="38" t="s">
        <v>265</v>
      </c>
      <c r="O8" s="38" t="s">
        <v>263</v>
      </c>
      <c r="P8" s="38" t="s">
        <v>283</v>
      </c>
      <c r="Q8" s="38" t="s">
        <v>284</v>
      </c>
      <c r="R8" s="38" t="s">
        <v>285</v>
      </c>
      <c r="S8" s="38" t="s">
        <v>286</v>
      </c>
      <c r="T8" s="38"/>
      <c r="U8" s="46" t="s">
        <v>287</v>
      </c>
      <c r="V8" s="38" t="s">
        <v>288</v>
      </c>
      <c r="W8" s="47" t="s">
        <v>289</v>
      </c>
      <c r="X8" s="47" t="s">
        <v>290</v>
      </c>
      <c r="Y8" s="47" t="s">
        <v>291</v>
      </c>
      <c r="Z8" s="48" t="s">
        <v>288</v>
      </c>
      <c r="AA8" s="48" t="s">
        <v>288</v>
      </c>
      <c r="AB8" s="49"/>
      <c r="AC8" s="49" t="s">
        <v>292</v>
      </c>
      <c r="AD8" s="49" t="s">
        <v>293</v>
      </c>
      <c r="AE8" s="49" t="s">
        <v>288</v>
      </c>
      <c r="AF8" s="50" t="s">
        <v>294</v>
      </c>
      <c r="AG8" s="50"/>
      <c r="AH8" s="48"/>
      <c r="AI8" s="47"/>
      <c r="AJ8" s="51" t="s">
        <v>295</v>
      </c>
      <c r="AK8" s="293"/>
      <c r="AM8" s="34"/>
      <c r="AN8" s="34"/>
      <c r="AO8" s="34"/>
    </row>
    <row r="9" spans="1:41" s="72" customFormat="1" ht="19.5" customHeight="1" x14ac:dyDescent="0.25">
      <c r="A9" s="52">
        <v>1</v>
      </c>
      <c r="B9" s="53" t="s">
        <v>243</v>
      </c>
      <c r="C9" s="54" t="s">
        <v>296</v>
      </c>
      <c r="D9" s="55">
        <f>SUM(F9+G9+H9+I9+AC9+E9-AD9-AF9)</f>
        <v>18919.185771144275</v>
      </c>
      <c r="E9" s="55">
        <v>13458.24</v>
      </c>
      <c r="F9" s="55">
        <v>250</v>
      </c>
      <c r="G9" s="55">
        <v>2667</v>
      </c>
      <c r="H9" s="55">
        <f>12.5</f>
        <v>12.5</v>
      </c>
      <c r="I9" s="56">
        <v>3480</v>
      </c>
      <c r="J9" s="56">
        <f>I9*I$5</f>
        <v>41760</v>
      </c>
      <c r="K9" s="56">
        <f>J9*10%</f>
        <v>4176</v>
      </c>
      <c r="L9" s="56">
        <f>J9/12</f>
        <v>3480</v>
      </c>
      <c r="M9" s="56">
        <v>232</v>
      </c>
      <c r="N9" s="56">
        <v>150</v>
      </c>
      <c r="O9" s="56">
        <v>250</v>
      </c>
      <c r="P9" s="56">
        <v>13458.24</v>
      </c>
      <c r="Q9" s="56">
        <f t="shared" ref="Q9:Q20" si="0">SUM(K9:O9)</f>
        <v>8288</v>
      </c>
      <c r="R9" s="56">
        <f t="shared" ref="R9:R20" si="1">J9+Q9</f>
        <v>50048</v>
      </c>
      <c r="S9" s="57">
        <f>R9*R$5</f>
        <v>200192000</v>
      </c>
      <c r="T9" s="56"/>
      <c r="U9" s="56">
        <f>SUM(F9+G9+H9+I9)</f>
        <v>6409.5</v>
      </c>
      <c r="V9" s="58">
        <f>(I9+F9+G9)*$B$3</f>
        <v>25715940</v>
      </c>
      <c r="W9" s="59">
        <v>3</v>
      </c>
      <c r="X9" s="59">
        <v>1</v>
      </c>
      <c r="Y9" s="59">
        <f t="shared" ref="Y9:Y19" si="2">W9+X9</f>
        <v>4</v>
      </c>
      <c r="Z9" s="60">
        <f>(W9+X9)*150000</f>
        <v>600000</v>
      </c>
      <c r="AA9" s="61">
        <f>V9-Z9</f>
        <v>25115940</v>
      </c>
      <c r="AB9" s="62" t="str">
        <f>IF(AA9&lt;=1200000,"0%",IF(AA9&lt;=2000000,"5%",IF(AA9&lt;=8500000,"10%",IF(AA9&lt;=12500000,"15%",IF(AA9&gt;12500000,"20%")))))</f>
        <v>20%</v>
      </c>
      <c r="AC9" s="58"/>
      <c r="AD9" s="58"/>
      <c r="AE9" s="63">
        <f>IF(IF(AA9&lt;=120000,0,IF(AA9&lt;=2000000,(AA9*5%-60000),IF(AA9&lt;=8500000,(AA9*10%-160000),IF(AA9&lt;=12500000,(AA9*15%-585000),IF(AA9&gt;12500000,((AA9*20%-1210000)))))))&lt;0,0,IF(AA9&lt;=120000,0,IF(AA9&lt;=2000000,(AA9*5%-60000),IF(AA9&lt;=8500000,(AA9*10%-160000),IF(AA9&lt;=12500000,(AA9*15%-585000),IF(AA9&gt;12500000,((AA9*20%-1210000))))))))</f>
        <v>3813188</v>
      </c>
      <c r="AF9" s="64">
        <f>AE9/$B$3</f>
        <v>948.55422885572136</v>
      </c>
      <c r="AG9" s="65"/>
      <c r="AH9" s="66"/>
      <c r="AI9" s="67"/>
      <c r="AJ9" s="68"/>
      <c r="AK9" s="69"/>
      <c r="AL9" s="70"/>
      <c r="AM9" s="71">
        <v>369.21867321867325</v>
      </c>
      <c r="AN9" s="71">
        <f t="shared" ref="AN9:AN47" si="3">U9-AM9</f>
        <v>6040.2813267813272</v>
      </c>
      <c r="AO9" s="71"/>
    </row>
    <row r="10" spans="1:41" s="72" customFormat="1" ht="21.75" customHeight="1" x14ac:dyDescent="0.25">
      <c r="A10" s="52">
        <v>2</v>
      </c>
      <c r="B10" s="53" t="s">
        <v>244</v>
      </c>
      <c r="C10" s="54" t="s">
        <v>297</v>
      </c>
      <c r="D10" s="55">
        <f t="shared" ref="D10:D45" si="4">SUM(F10+G10+H10+I10+AC10+E10-AD10-AF10)</f>
        <v>8813.8430845771145</v>
      </c>
      <c r="E10" s="55">
        <v>5682.36</v>
      </c>
      <c r="F10" s="55">
        <v>250</v>
      </c>
      <c r="G10" s="55">
        <v>1390.5</v>
      </c>
      <c r="H10" s="55">
        <v>12.5</v>
      </c>
      <c r="I10" s="56">
        <v>1854</v>
      </c>
      <c r="J10" s="56">
        <f>I10*I$5</f>
        <v>22248</v>
      </c>
      <c r="K10" s="56">
        <f t="shared" ref="K10:K45" si="5">J10*10%</f>
        <v>2224.8000000000002</v>
      </c>
      <c r="L10" s="56">
        <f t="shared" ref="L10:L45" si="6">J10/12</f>
        <v>1854</v>
      </c>
      <c r="M10" s="56">
        <v>232</v>
      </c>
      <c r="N10" s="56">
        <v>150</v>
      </c>
      <c r="O10" s="56">
        <v>250</v>
      </c>
      <c r="P10" s="56">
        <v>5682.36</v>
      </c>
      <c r="Q10" s="56">
        <f t="shared" si="0"/>
        <v>4710.8</v>
      </c>
      <c r="R10" s="56">
        <f t="shared" si="1"/>
        <v>26958.799999999999</v>
      </c>
      <c r="S10" s="57">
        <f t="shared" ref="S10:S45" si="7">R10*R$5</f>
        <v>107835200</v>
      </c>
      <c r="T10" s="56"/>
      <c r="U10" s="56">
        <f t="shared" ref="U10:U45" si="8">SUM(F10+G10+H10+I10)</f>
        <v>3507</v>
      </c>
      <c r="V10" s="58">
        <f t="shared" ref="V10:V45" si="9">(I10+F10+G10)*$B$3</f>
        <v>14047890</v>
      </c>
      <c r="W10" s="59">
        <v>2</v>
      </c>
      <c r="X10" s="59">
        <v>1</v>
      </c>
      <c r="Y10" s="59">
        <f t="shared" si="2"/>
        <v>3</v>
      </c>
      <c r="Z10" s="60">
        <f t="shared" ref="Z10:Z20" si="10">(W10+X10)*150000</f>
        <v>450000</v>
      </c>
      <c r="AA10" s="61">
        <f t="shared" ref="AA10:AA17" si="11">V10-Z10</f>
        <v>13597890</v>
      </c>
      <c r="AB10" s="62" t="str">
        <f t="shared" ref="AB10:AB20" si="12">IF(AA10&lt;=1200000,"0%",IF(AA10&lt;=2000000,"5%",IF(AA10&lt;=8500000,"10%",IF(AA10&lt;=12500000,"15%",IF(AA10&gt;12500000,"20%")))))</f>
        <v>20%</v>
      </c>
      <c r="AC10" s="58"/>
      <c r="AD10" s="58"/>
      <c r="AE10" s="63">
        <f t="shared" ref="AE10:AE20" si="13">IF(IF(AA10&lt;=120000,0,IF(AA10&lt;=2000000,(AA10*5%-60000),IF(AA10&lt;=8500000,(AA10*10%-160000),IF(AA10&lt;=12500000,(AA10*15%-585000),IF(AA10&gt;12500000,((AA10*20%-1210000)))))))&lt;0,0,IF(AA10&lt;=120000,0,IF(AA10&lt;=2000000,(AA10*5%-60000),IF(AA10&lt;=8500000,(AA10*10%-160000),IF(AA10&lt;=12500000,(AA10*15%-585000),IF(AA10&gt;12500000,((AA10*20%-1210000))))))))</f>
        <v>1509578</v>
      </c>
      <c r="AF10" s="64">
        <f t="shared" ref="AF10:AF20" si="14">AE10/$B$3</f>
        <v>375.51691542288557</v>
      </c>
      <c r="AG10" s="65"/>
      <c r="AH10" s="66"/>
      <c r="AI10" s="67"/>
      <c r="AJ10" s="68"/>
      <c r="AK10" s="69"/>
      <c r="AM10" s="71">
        <v>135.03144963144962</v>
      </c>
      <c r="AN10" s="71">
        <f t="shared" si="3"/>
        <v>3371.9685503685505</v>
      </c>
      <c r="AO10" s="71"/>
    </row>
    <row r="11" spans="1:41" s="72" customFormat="1" ht="19.5" customHeight="1" x14ac:dyDescent="0.25">
      <c r="A11" s="52">
        <v>3</v>
      </c>
      <c r="B11" s="54" t="s">
        <v>298</v>
      </c>
      <c r="C11" s="54" t="s">
        <v>299</v>
      </c>
      <c r="D11" s="55">
        <f t="shared" si="4"/>
        <v>5827.9950248756213</v>
      </c>
      <c r="E11" s="55">
        <v>4021.2</v>
      </c>
      <c r="F11" s="55">
        <v>250</v>
      </c>
      <c r="G11" s="55">
        <v>723</v>
      </c>
      <c r="H11" s="55">
        <v>12.5</v>
      </c>
      <c r="I11" s="56">
        <v>964</v>
      </c>
      <c r="J11" s="56">
        <f>I11*I$5</f>
        <v>11568</v>
      </c>
      <c r="K11" s="56">
        <f t="shared" si="5"/>
        <v>1156.8</v>
      </c>
      <c r="L11" s="56">
        <f t="shared" si="6"/>
        <v>964</v>
      </c>
      <c r="M11" s="56">
        <v>232</v>
      </c>
      <c r="N11" s="56">
        <v>150</v>
      </c>
      <c r="O11" s="56">
        <v>250</v>
      </c>
      <c r="P11" s="56">
        <v>4021.2</v>
      </c>
      <c r="Q11" s="56">
        <f t="shared" si="0"/>
        <v>2752.8</v>
      </c>
      <c r="R11" s="56">
        <f t="shared" si="1"/>
        <v>14320.8</v>
      </c>
      <c r="S11" s="56">
        <f t="shared" si="7"/>
        <v>57283200</v>
      </c>
      <c r="T11" s="56"/>
      <c r="U11" s="56">
        <f t="shared" si="8"/>
        <v>1949.5</v>
      </c>
      <c r="V11" s="58">
        <f t="shared" si="9"/>
        <v>7786740</v>
      </c>
      <c r="W11" s="59">
        <v>2</v>
      </c>
      <c r="X11" s="59">
        <v>1</v>
      </c>
      <c r="Y11" s="59">
        <f>W11+X11</f>
        <v>3</v>
      </c>
      <c r="Z11" s="60">
        <f t="shared" si="10"/>
        <v>450000</v>
      </c>
      <c r="AA11" s="61">
        <f>V11-Z11</f>
        <v>7336740</v>
      </c>
      <c r="AB11" s="62" t="str">
        <f t="shared" si="12"/>
        <v>10%</v>
      </c>
      <c r="AC11" s="58"/>
      <c r="AD11" s="58"/>
      <c r="AE11" s="63">
        <f t="shared" si="13"/>
        <v>573674</v>
      </c>
      <c r="AF11" s="64">
        <f t="shared" si="14"/>
        <v>142.70497512437811</v>
      </c>
      <c r="AG11" s="65"/>
      <c r="AH11" s="66"/>
      <c r="AI11" s="67"/>
      <c r="AJ11" s="68"/>
      <c r="AK11" s="69"/>
      <c r="AM11" s="71">
        <v>46.031449631449632</v>
      </c>
      <c r="AN11" s="71">
        <f t="shared" si="3"/>
        <v>1903.4685503685503</v>
      </c>
      <c r="AO11" s="71"/>
    </row>
    <row r="12" spans="1:41" s="72" customFormat="1" ht="21.75" customHeight="1" x14ac:dyDescent="0.25">
      <c r="A12" s="52">
        <v>4</v>
      </c>
      <c r="B12" s="53" t="s">
        <v>245</v>
      </c>
      <c r="C12" s="54" t="s">
        <v>300</v>
      </c>
      <c r="D12" s="55">
        <f t="shared" si="4"/>
        <v>7466.4459328358216</v>
      </c>
      <c r="E12" s="55">
        <v>4772.0200000000004</v>
      </c>
      <c r="F12" s="55">
        <v>250</v>
      </c>
      <c r="G12" s="55">
        <v>1163.25</v>
      </c>
      <c r="H12" s="55">
        <v>12.5</v>
      </c>
      <c r="I12" s="56">
        <v>1551</v>
      </c>
      <c r="J12" s="56">
        <f t="shared" ref="J12:J45" si="15">I12*I$5</f>
        <v>18612</v>
      </c>
      <c r="K12" s="56">
        <f t="shared" si="5"/>
        <v>1861.2</v>
      </c>
      <c r="L12" s="56">
        <f t="shared" si="6"/>
        <v>1551</v>
      </c>
      <c r="M12" s="56">
        <v>232</v>
      </c>
      <c r="N12" s="56">
        <v>150</v>
      </c>
      <c r="O12" s="56">
        <v>250</v>
      </c>
      <c r="P12" s="56">
        <v>4772.0200000000004</v>
      </c>
      <c r="Q12" s="56">
        <f t="shared" si="0"/>
        <v>4044.2</v>
      </c>
      <c r="R12" s="56">
        <f t="shared" si="1"/>
        <v>22656.2</v>
      </c>
      <c r="S12" s="57">
        <f t="shared" si="7"/>
        <v>90624800</v>
      </c>
      <c r="T12" s="56"/>
      <c r="U12" s="56">
        <f t="shared" si="8"/>
        <v>2976.75</v>
      </c>
      <c r="V12" s="58">
        <f t="shared" si="9"/>
        <v>11916285</v>
      </c>
      <c r="W12" s="59">
        <v>2</v>
      </c>
      <c r="X12" s="59">
        <v>1</v>
      </c>
      <c r="Y12" s="59">
        <f>W12+X12</f>
        <v>3</v>
      </c>
      <c r="Z12" s="60">
        <f t="shared" si="10"/>
        <v>450000</v>
      </c>
      <c r="AA12" s="61">
        <f>V12-Z12</f>
        <v>11466285</v>
      </c>
      <c r="AB12" s="62" t="str">
        <f t="shared" si="12"/>
        <v>15%</v>
      </c>
      <c r="AC12" s="58"/>
      <c r="AD12" s="58"/>
      <c r="AE12" s="63">
        <f t="shared" si="13"/>
        <v>1134942.75</v>
      </c>
      <c r="AF12" s="64">
        <f t="shared" si="14"/>
        <v>282.3240671641791</v>
      </c>
      <c r="AG12" s="65"/>
      <c r="AH12" s="66"/>
      <c r="AI12" s="67"/>
      <c r="AJ12" s="68"/>
      <c r="AK12" s="69"/>
      <c r="AM12" s="71">
        <v>104.73144963144964</v>
      </c>
      <c r="AN12" s="71">
        <f t="shared" si="3"/>
        <v>2872.0185503685502</v>
      </c>
      <c r="AO12" s="71"/>
    </row>
    <row r="13" spans="1:41" s="72" customFormat="1" ht="19.5" customHeight="1" x14ac:dyDescent="0.25">
      <c r="A13" s="52">
        <v>5</v>
      </c>
      <c r="B13" s="54" t="s">
        <v>301</v>
      </c>
      <c r="C13" s="54" t="s">
        <v>302</v>
      </c>
      <c r="D13" s="55">
        <f t="shared" si="4"/>
        <v>5529.1509950248756</v>
      </c>
      <c r="E13" s="55">
        <v>3746.15</v>
      </c>
      <c r="F13" s="55">
        <v>250</v>
      </c>
      <c r="G13" s="55">
        <v>717</v>
      </c>
      <c r="H13" s="55">
        <v>12.5</v>
      </c>
      <c r="I13" s="56">
        <v>956</v>
      </c>
      <c r="J13" s="56">
        <f t="shared" si="15"/>
        <v>11472</v>
      </c>
      <c r="K13" s="56">
        <f t="shared" si="5"/>
        <v>1147.2</v>
      </c>
      <c r="L13" s="56">
        <f t="shared" si="6"/>
        <v>956</v>
      </c>
      <c r="M13" s="56">
        <v>232</v>
      </c>
      <c r="N13" s="56">
        <v>150</v>
      </c>
      <c r="O13" s="56">
        <v>250</v>
      </c>
      <c r="P13" s="56">
        <v>3746.15</v>
      </c>
      <c r="Q13" s="56">
        <f t="shared" si="0"/>
        <v>2735.2</v>
      </c>
      <c r="R13" s="56">
        <f t="shared" si="1"/>
        <v>14207.2</v>
      </c>
      <c r="S13" s="56">
        <f t="shared" si="7"/>
        <v>56828800</v>
      </c>
      <c r="T13" s="56"/>
      <c r="U13" s="56">
        <f t="shared" si="8"/>
        <v>1935.5</v>
      </c>
      <c r="V13" s="58">
        <f t="shared" si="9"/>
        <v>7730460</v>
      </c>
      <c r="W13" s="59">
        <v>0</v>
      </c>
      <c r="X13" s="59">
        <v>0</v>
      </c>
      <c r="Y13" s="59">
        <f t="shared" si="2"/>
        <v>0</v>
      </c>
      <c r="Z13" s="60">
        <f t="shared" si="10"/>
        <v>0</v>
      </c>
      <c r="AA13" s="61">
        <f t="shared" si="11"/>
        <v>7730460</v>
      </c>
      <c r="AB13" s="62" t="str">
        <f t="shared" si="12"/>
        <v>10%</v>
      </c>
      <c r="AC13" s="58"/>
      <c r="AD13" s="58"/>
      <c r="AE13" s="63">
        <f t="shared" si="13"/>
        <v>613046</v>
      </c>
      <c r="AF13" s="64">
        <f t="shared" si="14"/>
        <v>152.49900497512436</v>
      </c>
      <c r="AG13" s="65"/>
      <c r="AH13" s="66"/>
      <c r="AI13" s="67"/>
      <c r="AJ13" s="68"/>
      <c r="AK13" s="69"/>
      <c r="AM13" s="71">
        <v>56.287960687960691</v>
      </c>
      <c r="AN13" s="71">
        <f t="shared" si="3"/>
        <v>1879.2120393120392</v>
      </c>
      <c r="AO13" s="71"/>
    </row>
    <row r="14" spans="1:41" s="72" customFormat="1" ht="19.5" customHeight="1" x14ac:dyDescent="0.25">
      <c r="A14" s="52">
        <v>6</v>
      </c>
      <c r="B14" s="54" t="s">
        <v>303</v>
      </c>
      <c r="C14" s="54" t="s">
        <v>304</v>
      </c>
      <c r="D14" s="55">
        <f t="shared" si="4"/>
        <v>3025.7886815920401</v>
      </c>
      <c r="E14" s="55">
        <v>1696.8</v>
      </c>
      <c r="F14" s="55">
        <v>250</v>
      </c>
      <c r="G14" s="55">
        <v>497.25</v>
      </c>
      <c r="H14" s="55">
        <v>12.5</v>
      </c>
      <c r="I14" s="56">
        <v>663</v>
      </c>
      <c r="J14" s="56">
        <f t="shared" si="15"/>
        <v>7956</v>
      </c>
      <c r="K14" s="56">
        <f t="shared" si="5"/>
        <v>795.6</v>
      </c>
      <c r="L14" s="56">
        <f t="shared" si="6"/>
        <v>663</v>
      </c>
      <c r="M14" s="56">
        <v>232</v>
      </c>
      <c r="N14" s="56">
        <v>150</v>
      </c>
      <c r="O14" s="56">
        <v>250</v>
      </c>
      <c r="P14" s="56">
        <v>1696.8</v>
      </c>
      <c r="Q14" s="56">
        <f t="shared" si="0"/>
        <v>2090.6</v>
      </c>
      <c r="R14" s="56">
        <f t="shared" si="1"/>
        <v>10046.6</v>
      </c>
      <c r="S14" s="56">
        <f t="shared" si="7"/>
        <v>40186400</v>
      </c>
      <c r="T14" s="56"/>
      <c r="U14" s="56">
        <f t="shared" si="8"/>
        <v>1422.75</v>
      </c>
      <c r="V14" s="58">
        <f t="shared" si="9"/>
        <v>5669205</v>
      </c>
      <c r="W14" s="59">
        <v>1</v>
      </c>
      <c r="X14" s="59">
        <v>1</v>
      </c>
      <c r="Y14" s="59">
        <f t="shared" si="2"/>
        <v>2</v>
      </c>
      <c r="Z14" s="60">
        <f t="shared" si="10"/>
        <v>300000</v>
      </c>
      <c r="AA14" s="61">
        <f t="shared" si="11"/>
        <v>5369205</v>
      </c>
      <c r="AB14" s="62" t="str">
        <f t="shared" si="12"/>
        <v>10%</v>
      </c>
      <c r="AC14" s="58"/>
      <c r="AD14" s="58"/>
      <c r="AE14" s="63">
        <f t="shared" si="13"/>
        <v>376920.5</v>
      </c>
      <c r="AF14" s="64">
        <f t="shared" si="14"/>
        <v>93.761318407960204</v>
      </c>
      <c r="AG14" s="65"/>
      <c r="AH14" s="66"/>
      <c r="AI14" s="67"/>
      <c r="AJ14" s="68"/>
      <c r="AK14" s="69"/>
      <c r="AM14" s="71">
        <v>19.616953316953317</v>
      </c>
      <c r="AN14" s="71">
        <f t="shared" si="3"/>
        <v>1403.1330466830466</v>
      </c>
      <c r="AO14" s="71"/>
    </row>
    <row r="15" spans="1:41" s="72" customFormat="1" ht="21.75" customHeight="1" x14ac:dyDescent="0.25">
      <c r="A15" s="52">
        <v>7</v>
      </c>
      <c r="B15" s="54" t="s">
        <v>305</v>
      </c>
      <c r="C15" s="54" t="s">
        <v>306</v>
      </c>
      <c r="D15" s="55">
        <f t="shared" si="4"/>
        <v>1941.3673383084576</v>
      </c>
      <c r="E15" s="55">
        <v>1327.21</v>
      </c>
      <c r="F15" s="55">
        <v>250</v>
      </c>
      <c r="G15" s="55">
        <v>206.25</v>
      </c>
      <c r="H15" s="55">
        <v>12.5</v>
      </c>
      <c r="I15" s="56">
        <v>275</v>
      </c>
      <c r="J15" s="56">
        <f t="shared" si="15"/>
        <v>3300</v>
      </c>
      <c r="K15" s="56">
        <f t="shared" si="5"/>
        <v>330</v>
      </c>
      <c r="L15" s="56">
        <f t="shared" si="6"/>
        <v>275</v>
      </c>
      <c r="M15" s="56">
        <v>232</v>
      </c>
      <c r="N15" s="56">
        <v>150</v>
      </c>
      <c r="O15" s="56">
        <v>250</v>
      </c>
      <c r="P15" s="56">
        <v>1327.21</v>
      </c>
      <c r="Q15" s="56">
        <f t="shared" si="0"/>
        <v>1237</v>
      </c>
      <c r="R15" s="56">
        <f t="shared" si="1"/>
        <v>4537</v>
      </c>
      <c r="S15" s="56">
        <f t="shared" si="7"/>
        <v>18148000</v>
      </c>
      <c r="T15" s="56"/>
      <c r="U15" s="56">
        <f t="shared" si="8"/>
        <v>743.75</v>
      </c>
      <c r="V15" s="58">
        <f t="shared" si="9"/>
        <v>2939625</v>
      </c>
      <c r="W15" s="59">
        <v>0</v>
      </c>
      <c r="X15" s="59">
        <v>1</v>
      </c>
      <c r="Y15" s="59">
        <f t="shared" si="2"/>
        <v>1</v>
      </c>
      <c r="Z15" s="60">
        <f t="shared" si="10"/>
        <v>150000</v>
      </c>
      <c r="AA15" s="61">
        <f t="shared" si="11"/>
        <v>2789625</v>
      </c>
      <c r="AB15" s="62" t="str">
        <f t="shared" si="12"/>
        <v>10%</v>
      </c>
      <c r="AC15" s="58"/>
      <c r="AD15" s="73">
        <v>100</v>
      </c>
      <c r="AE15" s="63">
        <f t="shared" si="13"/>
        <v>118962.5</v>
      </c>
      <c r="AF15" s="64">
        <f t="shared" si="14"/>
        <v>29.59266169154229</v>
      </c>
      <c r="AG15" s="65"/>
      <c r="AH15" s="66"/>
      <c r="AI15" s="67"/>
      <c r="AJ15" s="68"/>
      <c r="AK15" s="69"/>
      <c r="AM15" s="71">
        <v>0</v>
      </c>
      <c r="AN15" s="71">
        <f t="shared" si="3"/>
        <v>743.75</v>
      </c>
      <c r="AO15" s="71"/>
    </row>
    <row r="16" spans="1:41" s="72" customFormat="1" ht="21" customHeight="1" x14ac:dyDescent="0.25">
      <c r="A16" s="52">
        <v>8</v>
      </c>
      <c r="B16" s="54" t="s">
        <v>307</v>
      </c>
      <c r="C16" s="54" t="s">
        <v>306</v>
      </c>
      <c r="D16" s="55">
        <f t="shared" si="4"/>
        <v>2040.3109950248756</v>
      </c>
      <c r="E16" s="55">
        <v>1328.31</v>
      </c>
      <c r="F16" s="55">
        <v>250</v>
      </c>
      <c r="G16" s="55">
        <v>207</v>
      </c>
      <c r="H16" s="55">
        <v>12.5</v>
      </c>
      <c r="I16" s="56">
        <v>276</v>
      </c>
      <c r="J16" s="56">
        <f t="shared" si="15"/>
        <v>3312</v>
      </c>
      <c r="K16" s="56">
        <f t="shared" si="5"/>
        <v>331.20000000000005</v>
      </c>
      <c r="L16" s="56">
        <f t="shared" si="6"/>
        <v>276</v>
      </c>
      <c r="M16" s="56">
        <v>232</v>
      </c>
      <c r="N16" s="56">
        <v>150</v>
      </c>
      <c r="O16" s="56">
        <v>250</v>
      </c>
      <c r="P16" s="56">
        <v>1328.31</v>
      </c>
      <c r="Q16" s="56">
        <f t="shared" si="0"/>
        <v>1239.2</v>
      </c>
      <c r="R16" s="56">
        <f t="shared" si="1"/>
        <v>4551.2</v>
      </c>
      <c r="S16" s="56">
        <f t="shared" si="7"/>
        <v>18204800</v>
      </c>
      <c r="T16" s="56"/>
      <c r="U16" s="56">
        <f t="shared" si="8"/>
        <v>745.5</v>
      </c>
      <c r="V16" s="58">
        <f t="shared" si="9"/>
        <v>2946660</v>
      </c>
      <c r="W16" s="59">
        <v>0</v>
      </c>
      <c r="X16" s="59">
        <v>0</v>
      </c>
      <c r="Y16" s="59">
        <f t="shared" si="2"/>
        <v>0</v>
      </c>
      <c r="Z16" s="60">
        <f t="shared" si="10"/>
        <v>0</v>
      </c>
      <c r="AA16" s="61">
        <f t="shared" si="11"/>
        <v>2946660</v>
      </c>
      <c r="AB16" s="62" t="str">
        <f t="shared" si="12"/>
        <v>10%</v>
      </c>
      <c r="AC16" s="58"/>
      <c r="AD16" s="73"/>
      <c r="AE16" s="63">
        <f t="shared" si="13"/>
        <v>134666</v>
      </c>
      <c r="AF16" s="64">
        <f t="shared" si="14"/>
        <v>33.499004975124379</v>
      </c>
      <c r="AG16" s="65"/>
      <c r="AH16" s="66"/>
      <c r="AI16" s="67"/>
      <c r="AJ16" s="68"/>
      <c r="AK16" s="69"/>
      <c r="AM16" s="71">
        <v>0</v>
      </c>
      <c r="AN16" s="71">
        <f t="shared" si="3"/>
        <v>745.5</v>
      </c>
      <c r="AO16" s="71"/>
    </row>
    <row r="17" spans="1:41" s="72" customFormat="1" ht="21.75" customHeight="1" x14ac:dyDescent="0.25">
      <c r="A17" s="52">
        <v>9</v>
      </c>
      <c r="B17" s="54" t="s">
        <v>308</v>
      </c>
      <c r="C17" s="54" t="s">
        <v>309</v>
      </c>
      <c r="D17" s="55">
        <f t="shared" si="4"/>
        <v>1086.6409950248756</v>
      </c>
      <c r="E17" s="55">
        <v>336.84</v>
      </c>
      <c r="F17" s="55">
        <v>250</v>
      </c>
      <c r="G17" s="55">
        <v>225</v>
      </c>
      <c r="H17" s="55">
        <v>12.5</v>
      </c>
      <c r="I17" s="56">
        <f>300</f>
        <v>300</v>
      </c>
      <c r="J17" s="56">
        <f t="shared" si="15"/>
        <v>3600</v>
      </c>
      <c r="K17" s="56">
        <f t="shared" si="5"/>
        <v>360</v>
      </c>
      <c r="L17" s="56">
        <f t="shared" si="6"/>
        <v>300</v>
      </c>
      <c r="M17" s="56">
        <v>232</v>
      </c>
      <c r="N17" s="56">
        <v>150</v>
      </c>
      <c r="O17" s="56">
        <v>250</v>
      </c>
      <c r="P17" s="56">
        <v>336.84</v>
      </c>
      <c r="Q17" s="56">
        <f t="shared" si="0"/>
        <v>1292</v>
      </c>
      <c r="R17" s="56">
        <f t="shared" si="1"/>
        <v>4892</v>
      </c>
      <c r="S17" s="56">
        <f t="shared" si="7"/>
        <v>19568000</v>
      </c>
      <c r="T17" s="56"/>
      <c r="U17" s="56">
        <f t="shared" si="8"/>
        <v>787.5</v>
      </c>
      <c r="V17" s="58">
        <f t="shared" si="9"/>
        <v>3115500</v>
      </c>
      <c r="W17" s="59">
        <v>0</v>
      </c>
      <c r="X17" s="59">
        <v>0</v>
      </c>
      <c r="Y17" s="59">
        <f t="shared" si="2"/>
        <v>0</v>
      </c>
      <c r="Z17" s="60">
        <f t="shared" si="10"/>
        <v>0</v>
      </c>
      <c r="AA17" s="61">
        <f t="shared" si="11"/>
        <v>3115500</v>
      </c>
      <c r="AB17" s="62" t="str">
        <f t="shared" si="12"/>
        <v>10%</v>
      </c>
      <c r="AC17" s="58"/>
      <c r="AD17" s="73"/>
      <c r="AE17" s="63">
        <f t="shared" si="13"/>
        <v>151550</v>
      </c>
      <c r="AF17" s="64">
        <f t="shared" si="14"/>
        <v>37.699004975124382</v>
      </c>
      <c r="AG17" s="65"/>
      <c r="AH17" s="66"/>
      <c r="AI17" s="67"/>
      <c r="AJ17" s="74">
        <v>3.58</v>
      </c>
      <c r="AK17" s="69" t="s">
        <v>310</v>
      </c>
      <c r="AL17" s="72">
        <v>0.87</v>
      </c>
      <c r="AM17" s="71">
        <v>0.25798525798525801</v>
      </c>
      <c r="AN17" s="71">
        <f t="shared" si="3"/>
        <v>787.2420147420147</v>
      </c>
      <c r="AO17" s="71"/>
    </row>
    <row r="18" spans="1:41" s="72" customFormat="1" ht="22.5" customHeight="1" x14ac:dyDescent="0.25">
      <c r="A18" s="52">
        <v>10</v>
      </c>
      <c r="B18" s="54" t="s">
        <v>311</v>
      </c>
      <c r="C18" s="54" t="s">
        <v>312</v>
      </c>
      <c r="D18" s="55">
        <f t="shared" si="4"/>
        <v>3239.9623383084577</v>
      </c>
      <c r="E18" s="55">
        <v>1528.83</v>
      </c>
      <c r="F18" s="55">
        <v>250</v>
      </c>
      <c r="G18" s="55">
        <v>681</v>
      </c>
      <c r="H18" s="55">
        <v>12.5</v>
      </c>
      <c r="I18" s="56">
        <v>908</v>
      </c>
      <c r="J18" s="56">
        <f t="shared" si="15"/>
        <v>10896</v>
      </c>
      <c r="K18" s="56">
        <f t="shared" si="5"/>
        <v>1089.6000000000001</v>
      </c>
      <c r="L18" s="56">
        <f t="shared" si="6"/>
        <v>908</v>
      </c>
      <c r="M18" s="56">
        <v>232</v>
      </c>
      <c r="N18" s="56">
        <v>150</v>
      </c>
      <c r="O18" s="56">
        <v>250</v>
      </c>
      <c r="P18" s="56">
        <v>1528.83</v>
      </c>
      <c r="Q18" s="56">
        <f t="shared" si="0"/>
        <v>2629.6000000000004</v>
      </c>
      <c r="R18" s="56">
        <f t="shared" si="1"/>
        <v>13525.6</v>
      </c>
      <c r="S18" s="56">
        <f t="shared" si="7"/>
        <v>54102400</v>
      </c>
      <c r="T18" s="56"/>
      <c r="U18" s="56">
        <f t="shared" si="8"/>
        <v>1851.5</v>
      </c>
      <c r="V18" s="58">
        <f t="shared" si="9"/>
        <v>7392780</v>
      </c>
      <c r="W18" s="59">
        <v>0</v>
      </c>
      <c r="X18" s="59">
        <v>1</v>
      </c>
      <c r="Y18" s="59">
        <f t="shared" si="2"/>
        <v>1</v>
      </c>
      <c r="Z18" s="60">
        <f t="shared" si="10"/>
        <v>150000</v>
      </c>
      <c r="AA18" s="61">
        <f>V18-Z18</f>
        <v>7242780</v>
      </c>
      <c r="AB18" s="62" t="str">
        <f t="shared" si="12"/>
        <v>10%</v>
      </c>
      <c r="AC18" s="58"/>
      <c r="AD18" s="58"/>
      <c r="AE18" s="63">
        <f t="shared" si="13"/>
        <v>564278</v>
      </c>
      <c r="AF18" s="64">
        <f t="shared" si="14"/>
        <v>140.36766169154228</v>
      </c>
      <c r="AG18" s="65"/>
      <c r="AH18" s="66"/>
      <c r="AI18" s="67"/>
      <c r="AJ18" s="74"/>
      <c r="AK18" s="69"/>
      <c r="AM18" s="71">
        <v>47.802457002457004</v>
      </c>
      <c r="AN18" s="71">
        <f t="shared" si="3"/>
        <v>1803.697542997543</v>
      </c>
      <c r="AO18" s="71"/>
    </row>
    <row r="19" spans="1:41" s="72" customFormat="1" ht="19.5" customHeight="1" x14ac:dyDescent="0.25">
      <c r="A19" s="52">
        <v>11</v>
      </c>
      <c r="B19" s="54" t="s">
        <v>313</v>
      </c>
      <c r="C19" s="54" t="s">
        <v>314</v>
      </c>
      <c r="D19" s="55">
        <f t="shared" si="4"/>
        <v>2630.1550248756216</v>
      </c>
      <c r="E19" s="55">
        <v>1254.9100000000001</v>
      </c>
      <c r="F19" s="55">
        <v>250</v>
      </c>
      <c r="G19" s="55">
        <v>517.5</v>
      </c>
      <c r="H19" s="55">
        <v>12.5</v>
      </c>
      <c r="I19" s="56">
        <v>690</v>
      </c>
      <c r="J19" s="56">
        <f t="shared" si="15"/>
        <v>8280</v>
      </c>
      <c r="K19" s="56">
        <f t="shared" si="5"/>
        <v>828</v>
      </c>
      <c r="L19" s="56">
        <f t="shared" si="6"/>
        <v>690</v>
      </c>
      <c r="M19" s="56">
        <v>232</v>
      </c>
      <c r="N19" s="56">
        <v>150</v>
      </c>
      <c r="O19" s="56">
        <v>250</v>
      </c>
      <c r="P19" s="56">
        <v>1254.9100000000001</v>
      </c>
      <c r="Q19" s="56">
        <f t="shared" si="0"/>
        <v>2150</v>
      </c>
      <c r="R19" s="56">
        <f t="shared" si="1"/>
        <v>10430</v>
      </c>
      <c r="S19" s="56">
        <f t="shared" si="7"/>
        <v>41720000</v>
      </c>
      <c r="T19" s="56"/>
      <c r="U19" s="56">
        <f t="shared" si="8"/>
        <v>1470</v>
      </c>
      <c r="V19" s="58">
        <f t="shared" si="9"/>
        <v>5859150</v>
      </c>
      <c r="W19" s="59">
        <v>2</v>
      </c>
      <c r="X19" s="59">
        <v>1</v>
      </c>
      <c r="Y19" s="59">
        <f t="shared" si="2"/>
        <v>3</v>
      </c>
      <c r="Z19" s="60">
        <f t="shared" si="10"/>
        <v>450000</v>
      </c>
      <c r="AA19" s="61">
        <f>V19-Z19</f>
        <v>5409150</v>
      </c>
      <c r="AB19" s="62" t="str">
        <f t="shared" si="12"/>
        <v>10%</v>
      </c>
      <c r="AC19" s="58"/>
      <c r="AD19" s="58"/>
      <c r="AE19" s="63">
        <f t="shared" si="13"/>
        <v>380915</v>
      </c>
      <c r="AF19" s="64">
        <f t="shared" si="14"/>
        <v>94.754975124378106</v>
      </c>
      <c r="AG19" s="65"/>
      <c r="AH19" s="66"/>
      <c r="AI19" s="67"/>
      <c r="AJ19" s="74"/>
      <c r="AK19" s="69"/>
      <c r="AM19" s="71">
        <v>18.63144963144963</v>
      </c>
      <c r="AN19" s="71">
        <f t="shared" si="3"/>
        <v>1451.3685503685504</v>
      </c>
      <c r="AO19" s="71"/>
    </row>
    <row r="20" spans="1:41" s="72" customFormat="1" ht="20.25" customHeight="1" x14ac:dyDescent="0.25">
      <c r="A20" s="52">
        <v>12</v>
      </c>
      <c r="B20" s="54" t="s">
        <v>315</v>
      </c>
      <c r="C20" s="54" t="s">
        <v>316</v>
      </c>
      <c r="D20" s="55">
        <f t="shared" si="4"/>
        <v>1611.400024875622</v>
      </c>
      <c r="E20" s="55">
        <v>732.28</v>
      </c>
      <c r="F20" s="55">
        <v>250</v>
      </c>
      <c r="G20" s="55">
        <v>281.25</v>
      </c>
      <c r="H20" s="55">
        <v>12.5</v>
      </c>
      <c r="I20" s="56">
        <f>375</f>
        <v>375</v>
      </c>
      <c r="J20" s="56">
        <f t="shared" si="15"/>
        <v>4500</v>
      </c>
      <c r="K20" s="56">
        <f t="shared" si="5"/>
        <v>450</v>
      </c>
      <c r="L20" s="56">
        <f t="shared" si="6"/>
        <v>375</v>
      </c>
      <c r="M20" s="56">
        <v>232</v>
      </c>
      <c r="N20" s="56">
        <v>150</v>
      </c>
      <c r="O20" s="56">
        <v>250</v>
      </c>
      <c r="P20" s="56">
        <v>732.28</v>
      </c>
      <c r="Q20" s="56">
        <f t="shared" si="0"/>
        <v>1457</v>
      </c>
      <c r="R20" s="56">
        <f t="shared" si="1"/>
        <v>5957</v>
      </c>
      <c r="S20" s="56">
        <f t="shared" si="7"/>
        <v>23828000</v>
      </c>
      <c r="T20" s="56"/>
      <c r="U20" s="56">
        <f t="shared" si="8"/>
        <v>918.75</v>
      </c>
      <c r="V20" s="58">
        <f t="shared" si="9"/>
        <v>3643125</v>
      </c>
      <c r="W20" s="59">
        <v>2</v>
      </c>
      <c r="X20" s="59">
        <v>1</v>
      </c>
      <c r="Y20" s="59">
        <f>W20+X20</f>
        <v>3</v>
      </c>
      <c r="Z20" s="60">
        <f t="shared" si="10"/>
        <v>450000</v>
      </c>
      <c r="AA20" s="61">
        <f>V20-Z20</f>
        <v>3193125</v>
      </c>
      <c r="AB20" s="62" t="str">
        <f t="shared" si="12"/>
        <v>10%</v>
      </c>
      <c r="AC20" s="58"/>
      <c r="AD20" s="58"/>
      <c r="AE20" s="63">
        <f t="shared" si="13"/>
        <v>159312.5</v>
      </c>
      <c r="AF20" s="64">
        <f t="shared" si="14"/>
        <v>39.629975124378106</v>
      </c>
      <c r="AG20" s="65"/>
      <c r="AH20" s="66"/>
      <c r="AI20" s="67"/>
      <c r="AJ20" s="74"/>
      <c r="AK20" s="69"/>
      <c r="AM20" s="71">
        <v>0</v>
      </c>
      <c r="AN20" s="71">
        <f t="shared" si="3"/>
        <v>918.75</v>
      </c>
      <c r="AO20" s="71"/>
    </row>
    <row r="21" spans="1:41" s="72" customFormat="1" ht="27" customHeight="1" x14ac:dyDescent="0.2">
      <c r="A21" s="52"/>
      <c r="B21" s="75" t="s">
        <v>317</v>
      </c>
      <c r="C21" s="75"/>
      <c r="D21" s="76">
        <f>ROUND(SUM(D9:D20),2)+0.01</f>
        <v>62132.26</v>
      </c>
      <c r="E21" s="76">
        <f>ROUND(SUM(E9:E20),2)</f>
        <v>39885.15</v>
      </c>
      <c r="F21" s="76">
        <f>ROUND(SUM(F9:F20),2)</f>
        <v>3000</v>
      </c>
      <c r="G21" s="76">
        <f>ROUND(SUM(G9:G20),2)</f>
        <v>9276</v>
      </c>
      <c r="H21" s="76">
        <f>SUM(H9:H20)</f>
        <v>150</v>
      </c>
      <c r="I21" s="76">
        <f>SUM(I9:I20)</f>
        <v>12292</v>
      </c>
      <c r="J21" s="76">
        <f>SUM(J9:J20)</f>
        <v>147504</v>
      </c>
      <c r="K21" s="76">
        <f t="shared" ref="K21:S21" si="16">SUM(K9:K20)</f>
        <v>14750.400000000003</v>
      </c>
      <c r="L21" s="76">
        <f t="shared" si="16"/>
        <v>12292</v>
      </c>
      <c r="M21" s="76">
        <f t="shared" si="16"/>
        <v>2784</v>
      </c>
      <c r="N21" s="76">
        <f t="shared" si="16"/>
        <v>1800</v>
      </c>
      <c r="O21" s="76">
        <f t="shared" si="16"/>
        <v>3000</v>
      </c>
      <c r="P21" s="76">
        <f t="shared" si="16"/>
        <v>39885.15</v>
      </c>
      <c r="Q21" s="76">
        <f t="shared" si="16"/>
        <v>34626.400000000001</v>
      </c>
      <c r="R21" s="76">
        <f t="shared" si="16"/>
        <v>182130.40000000002</v>
      </c>
      <c r="S21" s="76">
        <f t="shared" si="16"/>
        <v>728521600</v>
      </c>
      <c r="T21" s="56"/>
      <c r="U21" s="76">
        <f>ROUND(SUM(U9:U20),2)</f>
        <v>24718</v>
      </c>
      <c r="V21" s="77">
        <f>ROUND(SUM(V9:V20),2)</f>
        <v>98763360</v>
      </c>
      <c r="W21" s="77">
        <f t="shared" ref="W21:AD21" si="17">SUM(W9:W20)</f>
        <v>14</v>
      </c>
      <c r="X21" s="77">
        <f t="shared" si="17"/>
        <v>9</v>
      </c>
      <c r="Y21" s="77">
        <f t="shared" si="17"/>
        <v>23</v>
      </c>
      <c r="Z21" s="77">
        <f t="shared" si="17"/>
        <v>3450000</v>
      </c>
      <c r="AA21" s="77">
        <f t="shared" si="17"/>
        <v>95313360</v>
      </c>
      <c r="AB21" s="77">
        <f t="shared" si="17"/>
        <v>0</v>
      </c>
      <c r="AC21" s="77">
        <f t="shared" si="17"/>
        <v>0</v>
      </c>
      <c r="AD21" s="77">
        <f t="shared" si="17"/>
        <v>100</v>
      </c>
      <c r="AE21" s="77">
        <f>SUM(AE9:AE20)+1</f>
        <v>9531034.25</v>
      </c>
      <c r="AF21" s="76">
        <f>SUM(AF9:AF20)-0.01</f>
        <v>2370.8937935323383</v>
      </c>
      <c r="AG21" s="77"/>
      <c r="AH21" s="77"/>
      <c r="AI21" s="76"/>
      <c r="AJ21" s="78">
        <v>25.23</v>
      </c>
      <c r="AK21" s="69" t="s">
        <v>310</v>
      </c>
      <c r="AL21" s="72">
        <v>32.89</v>
      </c>
      <c r="AM21" s="71">
        <f>SUM(AM9:AM20)</f>
        <v>797.60982800982811</v>
      </c>
      <c r="AN21" s="71">
        <f t="shared" si="3"/>
        <v>23920.390171990173</v>
      </c>
      <c r="AO21" s="71">
        <f>SUM(AN9:AN20)</f>
        <v>23920.390171990173</v>
      </c>
    </row>
    <row r="22" spans="1:41" s="72" customFormat="1" ht="21.75" customHeight="1" x14ac:dyDescent="0.25">
      <c r="A22" s="52">
        <v>1</v>
      </c>
      <c r="B22" s="54" t="s">
        <v>318</v>
      </c>
      <c r="C22" s="54" t="s">
        <v>319</v>
      </c>
      <c r="D22" s="55">
        <f t="shared" si="4"/>
        <v>4283.7250248756218</v>
      </c>
      <c r="E22" s="55">
        <v>2323.48</v>
      </c>
      <c r="F22" s="55">
        <v>250</v>
      </c>
      <c r="G22" s="55">
        <v>787.5</v>
      </c>
      <c r="H22" s="55">
        <v>12.5</v>
      </c>
      <c r="I22" s="56">
        <v>1070</v>
      </c>
      <c r="J22" s="56">
        <f t="shared" si="15"/>
        <v>12840</v>
      </c>
      <c r="K22" s="56">
        <f t="shared" si="5"/>
        <v>1284</v>
      </c>
      <c r="L22" s="56">
        <f t="shared" si="6"/>
        <v>1070</v>
      </c>
      <c r="M22" s="56">
        <v>232</v>
      </c>
      <c r="N22" s="56">
        <v>150</v>
      </c>
      <c r="O22" s="56">
        <v>250</v>
      </c>
      <c r="P22" s="56">
        <v>2323.48</v>
      </c>
      <c r="Q22" s="56">
        <f>SUM(K22:O22)</f>
        <v>2986</v>
      </c>
      <c r="R22" s="56">
        <f>J22+Q22</f>
        <v>15826</v>
      </c>
      <c r="S22" s="56">
        <f t="shared" si="7"/>
        <v>63304000</v>
      </c>
      <c r="T22" s="56"/>
      <c r="U22" s="56">
        <f t="shared" si="8"/>
        <v>2120</v>
      </c>
      <c r="V22" s="58">
        <f t="shared" si="9"/>
        <v>8472150</v>
      </c>
      <c r="W22" s="59">
        <v>2</v>
      </c>
      <c r="X22" s="59">
        <v>1</v>
      </c>
      <c r="Y22" s="59">
        <f>W22+X22</f>
        <v>3</v>
      </c>
      <c r="Z22" s="60">
        <f t="shared" ref="Z22:Z44" si="18">(W22+X22)*150000</f>
        <v>450000</v>
      </c>
      <c r="AA22" s="61">
        <f>V22-Z22</f>
        <v>8022150</v>
      </c>
      <c r="AB22" s="62" t="str">
        <f t="shared" ref="AB22:AB44" si="19">IF(AA22&lt;=1200000,"0%",IF(AA22&lt;=2000000,"5%",IF(AA22&lt;=8500000,"10%",IF(AA22&lt;=12500000,"15%",IF(AA22&gt;12500000,"20%")))))</f>
        <v>10%</v>
      </c>
      <c r="AC22" s="58"/>
      <c r="AD22" s="58"/>
      <c r="AE22" s="63">
        <f>IF(IF(AA22&lt;=120000,0,IF(AA22&lt;=2000000,(AA22*5%-60000),IF(AA22&lt;=8500000,(AA22*10%-160000),IF(AA22&lt;=12500000,(AA22*15%-585000),IF(AA22&gt;12500000,((AA22*20%-1210000)))))))&lt;0,0,IF(AA22&lt;=120000,0,IF(AA22&lt;=2000000,(AA22*5%-60000),IF(AA22&lt;=8500000,(AA22*10%-160000),IF(AA22&lt;=12500000,(AA22*15%-585000),IF(AA22&gt;12500000,((AA22*20%-1210000))))))))</f>
        <v>642215</v>
      </c>
      <c r="AF22" s="64">
        <f>AE22/$B$3</f>
        <v>159.75497512437812</v>
      </c>
      <c r="AG22" s="65"/>
      <c r="AH22" s="66"/>
      <c r="AI22" s="67"/>
      <c r="AJ22" s="74"/>
      <c r="AK22" s="69"/>
      <c r="AM22" s="71">
        <v>56.46</v>
      </c>
      <c r="AN22" s="71">
        <f t="shared" si="3"/>
        <v>2063.54</v>
      </c>
      <c r="AO22" s="71"/>
    </row>
    <row r="23" spans="1:41" s="72" customFormat="1" ht="20.25" customHeight="1" x14ac:dyDescent="0.25">
      <c r="A23" s="52">
        <v>2</v>
      </c>
      <c r="B23" s="54" t="s">
        <v>320</v>
      </c>
      <c r="C23" s="54" t="s">
        <v>321</v>
      </c>
      <c r="D23" s="55">
        <f t="shared" si="4"/>
        <v>4330.2850248756222</v>
      </c>
      <c r="E23" s="55">
        <v>2640.04</v>
      </c>
      <c r="F23" s="55">
        <v>250</v>
      </c>
      <c r="G23" s="55">
        <v>667.5</v>
      </c>
      <c r="H23" s="55">
        <v>12.5</v>
      </c>
      <c r="I23" s="56">
        <v>890</v>
      </c>
      <c r="J23" s="56">
        <f t="shared" si="15"/>
        <v>10680</v>
      </c>
      <c r="K23" s="56">
        <f t="shared" si="5"/>
        <v>1068</v>
      </c>
      <c r="L23" s="56">
        <f t="shared" si="6"/>
        <v>890</v>
      </c>
      <c r="M23" s="56">
        <v>232</v>
      </c>
      <c r="N23" s="56">
        <v>150</v>
      </c>
      <c r="O23" s="56">
        <v>250</v>
      </c>
      <c r="P23" s="56">
        <v>2640.04</v>
      </c>
      <c r="Q23" s="56">
        <f>SUM(K23:O23)</f>
        <v>2590</v>
      </c>
      <c r="R23" s="56">
        <f>J23+Q23</f>
        <v>13270</v>
      </c>
      <c r="S23" s="56">
        <f t="shared" si="7"/>
        <v>53080000</v>
      </c>
      <c r="T23" s="56"/>
      <c r="U23" s="56">
        <f t="shared" si="8"/>
        <v>1820</v>
      </c>
      <c r="V23" s="58">
        <f t="shared" si="9"/>
        <v>7266150</v>
      </c>
      <c r="W23" s="59">
        <v>2</v>
      </c>
      <c r="X23" s="59">
        <v>1</v>
      </c>
      <c r="Y23" s="59">
        <f>W23+X23</f>
        <v>3</v>
      </c>
      <c r="Z23" s="60">
        <f t="shared" si="18"/>
        <v>450000</v>
      </c>
      <c r="AA23" s="61">
        <f>V23-Z23</f>
        <v>6816150</v>
      </c>
      <c r="AB23" s="62" t="str">
        <f t="shared" si="19"/>
        <v>10%</v>
      </c>
      <c r="AC23" s="58"/>
      <c r="AD23" s="58"/>
      <c r="AE23" s="63">
        <f>IF(IF(AA23&lt;=120000,0,IF(AA23&lt;=2000000,(AA23*5%-60000),IF(AA23&lt;=8500000,(AA23*10%-160000),IF(AA23&lt;=12500000,(AA23*15%-585000),IF(AA23&gt;12500000,((AA23*20%-1210000)))))))&lt;0,0,IF(AA23&lt;=120000,0,IF(AA23&lt;=2000000,(AA23*5%-60000),IF(AA23&lt;=8500000,(AA23*10%-160000),IF(AA23&lt;=12500000,(AA23*15%-585000),IF(AA23&gt;12500000,((AA23*20%-1210000))))))))</f>
        <v>521615</v>
      </c>
      <c r="AF23" s="64">
        <f>AE23/$B$3</f>
        <v>129.75497512437812</v>
      </c>
      <c r="AG23" s="65"/>
      <c r="AH23" s="66"/>
      <c r="AI23" s="67"/>
      <c r="AJ23" s="74"/>
      <c r="AK23" s="69"/>
      <c r="AM23" s="71">
        <v>38.46</v>
      </c>
      <c r="AN23" s="71">
        <f t="shared" si="3"/>
        <v>1781.54</v>
      </c>
      <c r="AO23" s="71"/>
    </row>
    <row r="24" spans="1:41" s="72" customFormat="1" ht="20.25" customHeight="1" x14ac:dyDescent="0.25">
      <c r="A24" s="52">
        <v>3</v>
      </c>
      <c r="B24" s="54" t="s">
        <v>322</v>
      </c>
      <c r="C24" s="54" t="s">
        <v>321</v>
      </c>
      <c r="D24" s="55">
        <f t="shared" si="4"/>
        <v>2977.5323383084578</v>
      </c>
      <c r="E24" s="55">
        <v>1411.3</v>
      </c>
      <c r="F24" s="55">
        <v>250</v>
      </c>
      <c r="G24" s="55">
        <v>612</v>
      </c>
      <c r="H24" s="55">
        <v>12.5</v>
      </c>
      <c r="I24" s="56">
        <v>816</v>
      </c>
      <c r="J24" s="56">
        <f t="shared" si="15"/>
        <v>9792</v>
      </c>
      <c r="K24" s="56">
        <f t="shared" si="5"/>
        <v>979.2</v>
      </c>
      <c r="L24" s="56">
        <f t="shared" si="6"/>
        <v>816</v>
      </c>
      <c r="M24" s="56">
        <v>232</v>
      </c>
      <c r="N24" s="56">
        <v>150</v>
      </c>
      <c r="O24" s="56">
        <v>250</v>
      </c>
      <c r="P24" s="56">
        <v>1411.3</v>
      </c>
      <c r="Q24" s="56">
        <f>SUM(K24:O24)</f>
        <v>2427.1999999999998</v>
      </c>
      <c r="R24" s="56">
        <f>J24+Q24</f>
        <v>12219.2</v>
      </c>
      <c r="S24" s="56">
        <f t="shared" si="7"/>
        <v>48876800</v>
      </c>
      <c r="T24" s="56"/>
      <c r="U24" s="56">
        <f t="shared" si="8"/>
        <v>1690.5</v>
      </c>
      <c r="V24" s="58">
        <f t="shared" si="9"/>
        <v>6745560</v>
      </c>
      <c r="W24" s="59">
        <v>0</v>
      </c>
      <c r="X24" s="59">
        <v>1</v>
      </c>
      <c r="Y24" s="59">
        <f>W24+X24</f>
        <v>1</v>
      </c>
      <c r="Z24" s="60">
        <f t="shared" si="18"/>
        <v>150000</v>
      </c>
      <c r="AA24" s="61">
        <f>V24-Z24</f>
        <v>6595560</v>
      </c>
      <c r="AB24" s="62" t="str">
        <f t="shared" si="19"/>
        <v>10%</v>
      </c>
      <c r="AC24" s="58"/>
      <c r="AD24" s="58"/>
      <c r="AE24" s="63">
        <f>IF(IF(AA24&lt;=120000,0,IF(AA24&lt;=2000000,(AA24*5%-60000),IF(AA24&lt;=8500000,(AA24*10%-160000),IF(AA24&lt;=12500000,(AA24*15%-585000),IF(AA24&gt;12500000,((AA24*20%-1210000)))))))&lt;0,0,IF(AA24&lt;=120000,0,IF(AA24&lt;=2000000,(AA24*5%-60000),IF(AA24&lt;=8500000,(AA24*10%-160000),IF(AA24&lt;=12500000,(AA24*15%-585000),IF(AA24&gt;12500000,((AA24*20%-1210000))))))))</f>
        <v>499556</v>
      </c>
      <c r="AF24" s="64">
        <f>AE24/$B$3</f>
        <v>124.26766169154229</v>
      </c>
      <c r="AG24" s="65"/>
      <c r="AH24" s="66"/>
      <c r="AI24" s="67"/>
      <c r="AJ24" s="74"/>
      <c r="AK24" s="69"/>
      <c r="AM24" s="71">
        <v>38.450000000000003</v>
      </c>
      <c r="AN24" s="71">
        <f t="shared" si="3"/>
        <v>1652.05</v>
      </c>
      <c r="AO24" s="71"/>
    </row>
    <row r="25" spans="1:41" s="72" customFormat="1" ht="21" customHeight="1" x14ac:dyDescent="0.25">
      <c r="A25" s="52">
        <v>4</v>
      </c>
      <c r="B25" s="54" t="s">
        <v>323</v>
      </c>
      <c r="C25" s="54" t="s">
        <v>321</v>
      </c>
      <c r="D25" s="55">
        <f t="shared" si="4"/>
        <v>988.53668159203983</v>
      </c>
      <c r="E25" s="55"/>
      <c r="F25" s="55">
        <v>39.79</v>
      </c>
      <c r="G25" s="55">
        <v>136.18</v>
      </c>
      <c r="H25" s="55">
        <v>12.5</v>
      </c>
      <c r="I25" s="56">
        <v>856</v>
      </c>
      <c r="J25" s="56">
        <f t="shared" si="15"/>
        <v>10272</v>
      </c>
      <c r="K25" s="56">
        <f t="shared" si="5"/>
        <v>1027.2</v>
      </c>
      <c r="L25" s="56">
        <f t="shared" si="6"/>
        <v>856</v>
      </c>
      <c r="M25" s="56">
        <v>232</v>
      </c>
      <c r="N25" s="56">
        <v>150</v>
      </c>
      <c r="O25" s="56">
        <v>250</v>
      </c>
      <c r="P25" s="56"/>
      <c r="Q25" s="56">
        <f>SUM(K25:O25)</f>
        <v>2515.1999999999998</v>
      </c>
      <c r="R25" s="56">
        <f>J25+Q25</f>
        <v>12787.2</v>
      </c>
      <c r="S25" s="56">
        <f t="shared" si="7"/>
        <v>51148800</v>
      </c>
      <c r="T25" s="56"/>
      <c r="U25" s="56">
        <f t="shared" si="8"/>
        <v>1044.47</v>
      </c>
      <c r="V25" s="58">
        <f t="shared" si="9"/>
        <v>4148519.4</v>
      </c>
      <c r="W25" s="59">
        <v>1</v>
      </c>
      <c r="X25" s="59">
        <v>1</v>
      </c>
      <c r="Y25" s="59">
        <f>W25+X25</f>
        <v>2</v>
      </c>
      <c r="Z25" s="60">
        <f t="shared" si="18"/>
        <v>300000</v>
      </c>
      <c r="AA25" s="61">
        <f>V25-Z25</f>
        <v>3848519.4</v>
      </c>
      <c r="AB25" s="62" t="str">
        <f t="shared" si="19"/>
        <v>10%</v>
      </c>
      <c r="AC25" s="58"/>
      <c r="AD25" s="58"/>
      <c r="AE25" s="63">
        <f>IF(IF(AA25&lt;=120000,0,IF(AA25&lt;=2000000,(AA25*5%-60000),IF(AA25&lt;=8500000,(AA25*10%-160000),IF(AA25&lt;=12500000,(AA25*15%-585000),IF(AA25&gt;12500000,((AA25*20%-1210000)))))))&lt;0,0,IF(AA25&lt;=120000,0,IF(AA25&lt;=2000000,(AA25*5%-60000),IF(AA25&lt;=8500000,(AA25*10%-160000),IF(AA25&lt;=12500000,(AA25*15%-585000),IF(AA25&gt;12500000,((AA25*20%-1210000))))))))</f>
        <v>224851.94</v>
      </c>
      <c r="AF25" s="64">
        <f>AE25/$B$3</f>
        <v>55.933318407960201</v>
      </c>
      <c r="AG25" s="65"/>
      <c r="AH25" s="66"/>
      <c r="AI25" s="67"/>
      <c r="AJ25" s="74"/>
      <c r="AK25" s="69"/>
      <c r="AM25" s="71"/>
      <c r="AN25" s="71"/>
      <c r="AO25" s="71"/>
    </row>
    <row r="26" spans="1:41" s="72" customFormat="1" ht="21.75" customHeight="1" x14ac:dyDescent="0.25">
      <c r="A26" s="52">
        <v>5</v>
      </c>
      <c r="B26" s="54" t="s">
        <v>324</v>
      </c>
      <c r="C26" s="54" t="s">
        <v>325</v>
      </c>
      <c r="D26" s="55">
        <f t="shared" si="4"/>
        <v>607.32049502487553</v>
      </c>
      <c r="E26" s="55"/>
      <c r="F26" s="55">
        <v>143.95833333333331</v>
      </c>
      <c r="G26" s="55">
        <v>172.73</v>
      </c>
      <c r="H26" s="55">
        <v>12.5</v>
      </c>
      <c r="I26" s="56">
        <v>300</v>
      </c>
      <c r="J26" s="56">
        <f t="shared" si="15"/>
        <v>3600</v>
      </c>
      <c r="K26" s="56">
        <f t="shared" si="5"/>
        <v>360</v>
      </c>
      <c r="L26" s="56">
        <f t="shared" si="6"/>
        <v>300</v>
      </c>
      <c r="M26" s="56">
        <v>232</v>
      </c>
      <c r="N26" s="56">
        <v>150</v>
      </c>
      <c r="O26" s="56">
        <v>250</v>
      </c>
      <c r="P26" s="56"/>
      <c r="Q26" s="56">
        <f>SUM(K26:O26)</f>
        <v>1292</v>
      </c>
      <c r="R26" s="56">
        <f>J26+Q26</f>
        <v>4892</v>
      </c>
      <c r="S26" s="56">
        <f t="shared" si="7"/>
        <v>19568000</v>
      </c>
      <c r="T26" s="56"/>
      <c r="U26" s="56">
        <f t="shared" si="8"/>
        <v>629.18833333333328</v>
      </c>
      <c r="V26" s="58">
        <f t="shared" si="9"/>
        <v>2479087.0999999996</v>
      </c>
      <c r="W26" s="59">
        <v>0</v>
      </c>
      <c r="X26" s="59">
        <v>0</v>
      </c>
      <c r="Y26" s="59">
        <f>W26+X26</f>
        <v>0</v>
      </c>
      <c r="Z26" s="60">
        <f t="shared" si="18"/>
        <v>0</v>
      </c>
      <c r="AA26" s="61">
        <f>V26-Z26</f>
        <v>2479087.0999999996</v>
      </c>
      <c r="AB26" s="62" t="str">
        <f t="shared" si="19"/>
        <v>10%</v>
      </c>
      <c r="AC26" s="58"/>
      <c r="AD26" s="58"/>
      <c r="AE26" s="63">
        <f>IF(IF(AA26&lt;=120000,0,IF(AA26&lt;=2000000,(AA26*5%-60000),IF(AA26&lt;=8500000,(AA26*10%-160000),IF(AA26&lt;=12500000,(AA26*15%-585000),IF(AA26&gt;12500000,((AA26*20%-1210000)))))))&lt;0,0,IF(AA26&lt;=120000,0,IF(AA26&lt;=2000000,(AA26*5%-60000),IF(AA26&lt;=8500000,(AA26*10%-160000),IF(AA26&lt;=12500000,(AA26*15%-585000),IF(AA26&gt;12500000,((AA26*20%-1210000))))))))</f>
        <v>87908.709999999963</v>
      </c>
      <c r="AF26" s="64">
        <f>AE26/$B$3</f>
        <v>21.867838308457703</v>
      </c>
      <c r="AG26" s="65"/>
      <c r="AH26" s="66"/>
      <c r="AI26" s="67"/>
      <c r="AJ26" s="74"/>
      <c r="AK26" s="69"/>
      <c r="AM26" s="71"/>
      <c r="AN26" s="71"/>
      <c r="AO26" s="71"/>
    </row>
    <row r="27" spans="1:41" s="72" customFormat="1" ht="31.5" customHeight="1" x14ac:dyDescent="0.2">
      <c r="A27" s="52"/>
      <c r="B27" s="75" t="s">
        <v>317</v>
      </c>
      <c r="C27" s="75"/>
      <c r="D27" s="76">
        <f>ROUND(SUM(D22:D26),2)+0.01</f>
        <v>13187.41</v>
      </c>
      <c r="E27" s="76">
        <f>ROUND(SUM(E22:E26),2)</f>
        <v>6374.82</v>
      </c>
      <c r="F27" s="76">
        <f>ROUND(SUM(F22:F26),2)</f>
        <v>933.75</v>
      </c>
      <c r="G27" s="76">
        <f>ROUND(SUM(G22:G26),2)</f>
        <v>2375.91</v>
      </c>
      <c r="H27" s="76">
        <f t="shared" ref="H27:AE27" si="20">ROUND(SUM(H22:H26),2)</f>
        <v>62.5</v>
      </c>
      <c r="I27" s="76">
        <f t="shared" si="20"/>
        <v>3932</v>
      </c>
      <c r="J27" s="76">
        <f t="shared" si="20"/>
        <v>47184</v>
      </c>
      <c r="K27" s="76">
        <f t="shared" si="20"/>
        <v>4718.3999999999996</v>
      </c>
      <c r="L27" s="76">
        <f t="shared" si="20"/>
        <v>3932</v>
      </c>
      <c r="M27" s="76">
        <f t="shared" si="20"/>
        <v>1160</v>
      </c>
      <c r="N27" s="76">
        <f t="shared" si="20"/>
        <v>750</v>
      </c>
      <c r="O27" s="76">
        <f t="shared" si="20"/>
        <v>1250</v>
      </c>
      <c r="P27" s="76">
        <f t="shared" si="20"/>
        <v>6374.82</v>
      </c>
      <c r="Q27" s="76">
        <f t="shared" si="20"/>
        <v>11810.4</v>
      </c>
      <c r="R27" s="76">
        <f t="shared" si="20"/>
        <v>58994.400000000001</v>
      </c>
      <c r="S27" s="76">
        <f t="shared" si="20"/>
        <v>235977600</v>
      </c>
      <c r="T27" s="56"/>
      <c r="U27" s="76">
        <f t="shared" si="20"/>
        <v>7304.16</v>
      </c>
      <c r="V27" s="77">
        <f t="shared" si="20"/>
        <v>29111466.5</v>
      </c>
      <c r="W27" s="77">
        <f t="shared" si="20"/>
        <v>5</v>
      </c>
      <c r="X27" s="77">
        <f t="shared" si="20"/>
        <v>4</v>
      </c>
      <c r="Y27" s="77">
        <f t="shared" si="20"/>
        <v>9</v>
      </c>
      <c r="Z27" s="77">
        <f t="shared" si="20"/>
        <v>1350000</v>
      </c>
      <c r="AA27" s="77">
        <f t="shared" si="20"/>
        <v>27761466.5</v>
      </c>
      <c r="AB27" s="76">
        <f t="shared" si="20"/>
        <v>0</v>
      </c>
      <c r="AC27" s="76">
        <f t="shared" si="20"/>
        <v>0</v>
      </c>
      <c r="AD27" s="76">
        <f t="shared" si="20"/>
        <v>0</v>
      </c>
      <c r="AE27" s="76">
        <f t="shared" si="20"/>
        <v>1976146.65</v>
      </c>
      <c r="AF27" s="76">
        <f>ROUND(SUM(AF22:AF26),2)-0.01</f>
        <v>491.57</v>
      </c>
      <c r="AG27" s="77"/>
      <c r="AH27" s="77"/>
      <c r="AI27" s="76"/>
      <c r="AJ27" s="74">
        <v>1.58</v>
      </c>
      <c r="AK27" s="69" t="s">
        <v>310</v>
      </c>
      <c r="AL27" s="72">
        <v>4.5</v>
      </c>
      <c r="AM27" s="71">
        <f>SUM(AM22:AM24)</f>
        <v>133.37</v>
      </c>
      <c r="AN27" s="71">
        <f t="shared" si="3"/>
        <v>7170.79</v>
      </c>
      <c r="AO27" s="71">
        <f>SUM(AN22:AN24)</f>
        <v>5497.13</v>
      </c>
    </row>
    <row r="28" spans="1:41" s="72" customFormat="1" ht="17.25" customHeight="1" x14ac:dyDescent="0.25">
      <c r="A28" s="52">
        <v>1</v>
      </c>
      <c r="B28" s="54" t="s">
        <v>326</v>
      </c>
      <c r="C28" s="54" t="s">
        <v>327</v>
      </c>
      <c r="D28" s="55">
        <f t="shared" si="4"/>
        <v>5728.0564179104476</v>
      </c>
      <c r="E28" s="55">
        <v>3537.54</v>
      </c>
      <c r="F28" s="55">
        <v>250</v>
      </c>
      <c r="G28" s="55">
        <v>912</v>
      </c>
      <c r="H28" s="55">
        <v>12.5</v>
      </c>
      <c r="I28" s="56">
        <v>1216</v>
      </c>
      <c r="J28" s="56">
        <f t="shared" si="15"/>
        <v>14592</v>
      </c>
      <c r="K28" s="56">
        <f t="shared" si="5"/>
        <v>1459.2</v>
      </c>
      <c r="L28" s="56">
        <f t="shared" si="6"/>
        <v>1216</v>
      </c>
      <c r="M28" s="56">
        <v>232</v>
      </c>
      <c r="N28" s="56">
        <v>150</v>
      </c>
      <c r="O28" s="56">
        <v>250</v>
      </c>
      <c r="P28" s="56">
        <v>3537.54</v>
      </c>
      <c r="Q28" s="56">
        <f>SUM(K28:O28)</f>
        <v>3307.2</v>
      </c>
      <c r="R28" s="56">
        <f>J28+Q28</f>
        <v>17899.2</v>
      </c>
      <c r="S28" s="56">
        <f t="shared" si="7"/>
        <v>71596800</v>
      </c>
      <c r="T28" s="56"/>
      <c r="U28" s="56">
        <f t="shared" si="8"/>
        <v>2390.5</v>
      </c>
      <c r="V28" s="58">
        <f t="shared" si="9"/>
        <v>9559560</v>
      </c>
      <c r="W28" s="59">
        <v>1</v>
      </c>
      <c r="X28" s="59">
        <v>1</v>
      </c>
      <c r="Y28" s="59">
        <f>W28+X28</f>
        <v>2</v>
      </c>
      <c r="Z28" s="60">
        <f t="shared" si="18"/>
        <v>300000</v>
      </c>
      <c r="AA28" s="61">
        <f>V28-Z28</f>
        <v>9259560</v>
      </c>
      <c r="AB28" s="62" t="str">
        <f t="shared" si="19"/>
        <v>15%</v>
      </c>
      <c r="AC28" s="58"/>
      <c r="AD28" s="58"/>
      <c r="AE28" s="63">
        <f>IF(IF(AA28&lt;=120000,0,IF(AA28&lt;=2000000,(AA28*5%-60000),IF(AA28&lt;=8500000,(AA28*10%-160000),IF(AA28&lt;=12500000,(AA28*15%-585000),IF(AA28&gt;12500000,((AA28*20%-1210000)))))))&lt;0,0,IF(AA28&lt;=120000,0,IF(AA28&lt;=2000000,(AA28*5%-60000),IF(AA28&lt;=8500000,(AA28*10%-160000),IF(AA28&lt;=12500000,(AA28*15%-585000),IF(AA28&gt;12500000,((AA28*20%-1210000))))))))</f>
        <v>803934</v>
      </c>
      <c r="AF28" s="64">
        <f>AE28/$B$3</f>
        <v>199.98358208955224</v>
      </c>
      <c r="AG28" s="65"/>
      <c r="AH28" s="66"/>
      <c r="AI28" s="67"/>
      <c r="AJ28" s="79"/>
      <c r="AK28" s="80"/>
      <c r="AM28" s="71">
        <v>74.916953316953311</v>
      </c>
      <c r="AN28" s="71">
        <f t="shared" si="3"/>
        <v>2315.5830466830466</v>
      </c>
      <c r="AO28" s="71"/>
    </row>
    <row r="29" spans="1:41" s="72" customFormat="1" ht="17.25" customHeight="1" x14ac:dyDescent="0.25">
      <c r="A29" s="52">
        <v>2</v>
      </c>
      <c r="B29" s="54" t="s">
        <v>328</v>
      </c>
      <c r="C29" s="54" t="s">
        <v>329</v>
      </c>
      <c r="D29" s="55">
        <f t="shared" si="4"/>
        <v>6889.9163681592036</v>
      </c>
      <c r="E29" s="55">
        <v>4786.4399999999996</v>
      </c>
      <c r="F29" s="55">
        <v>250</v>
      </c>
      <c r="G29" s="55">
        <v>862.5</v>
      </c>
      <c r="H29" s="55">
        <v>12.5</v>
      </c>
      <c r="I29" s="56">
        <v>1150</v>
      </c>
      <c r="J29" s="56">
        <f t="shared" si="15"/>
        <v>13800</v>
      </c>
      <c r="K29" s="56">
        <f t="shared" si="5"/>
        <v>1380</v>
      </c>
      <c r="L29" s="56">
        <f t="shared" si="6"/>
        <v>1150</v>
      </c>
      <c r="M29" s="56">
        <v>232</v>
      </c>
      <c r="N29" s="56">
        <v>150</v>
      </c>
      <c r="O29" s="56">
        <v>250</v>
      </c>
      <c r="P29" s="56">
        <v>4786.4399999999996</v>
      </c>
      <c r="Q29" s="56">
        <f>SUM(K29:O29)</f>
        <v>3162</v>
      </c>
      <c r="R29" s="56">
        <f>J29+Q29</f>
        <v>16962</v>
      </c>
      <c r="S29" s="56">
        <f t="shared" si="7"/>
        <v>67848000</v>
      </c>
      <c r="T29" s="56"/>
      <c r="U29" s="56">
        <f t="shared" si="8"/>
        <v>2275</v>
      </c>
      <c r="V29" s="58">
        <f t="shared" si="9"/>
        <v>9095250</v>
      </c>
      <c r="W29" s="59">
        <v>3</v>
      </c>
      <c r="X29" s="59">
        <v>1</v>
      </c>
      <c r="Y29" s="59">
        <f>W29+X29</f>
        <v>4</v>
      </c>
      <c r="Z29" s="60">
        <f t="shared" si="18"/>
        <v>600000</v>
      </c>
      <c r="AA29" s="61">
        <f>V29-Z29</f>
        <v>8495250</v>
      </c>
      <c r="AB29" s="62" t="str">
        <f t="shared" si="19"/>
        <v>10%</v>
      </c>
      <c r="AC29" s="58"/>
      <c r="AD29" s="58"/>
      <c r="AE29" s="63">
        <f>IF(IF(AA29&lt;=120000,0,IF(AA29&lt;=2000000,(AA29*5%-60000),IF(AA29&lt;=8500000,(AA29*10%-160000),IF(AA29&lt;=12500000,(AA29*15%-585000),IF(AA29&gt;12500000,((AA29*20%-1210000)))))))&lt;0,0,IF(AA29&lt;=120000,0,IF(AA29&lt;=2000000,(AA29*5%-60000),IF(AA29&lt;=8500000,(AA29*10%-160000),IF(AA29&lt;=12500000,(AA29*15%-585000),IF(AA29&gt;12500000,((AA29*20%-1210000))))))))</f>
        <v>689525</v>
      </c>
      <c r="AF29" s="64">
        <f>AE29/$B$3</f>
        <v>171.52363184079601</v>
      </c>
      <c r="AG29" s="65"/>
      <c r="AH29" s="66"/>
      <c r="AI29" s="67"/>
      <c r="AJ29" s="79"/>
      <c r="AK29" s="80"/>
      <c r="AM29" s="71">
        <v>60.945945945945944</v>
      </c>
      <c r="AN29" s="71">
        <f t="shared" si="3"/>
        <v>2214.0540540540542</v>
      </c>
      <c r="AO29" s="71"/>
    </row>
    <row r="30" spans="1:41" s="72" customFormat="1" ht="17.25" customHeight="1" x14ac:dyDescent="0.25">
      <c r="A30" s="52">
        <v>3</v>
      </c>
      <c r="B30" s="54" t="s">
        <v>330</v>
      </c>
      <c r="C30" s="54" t="s">
        <v>331</v>
      </c>
      <c r="D30" s="55">
        <f t="shared" si="4"/>
        <v>757.2636815920398</v>
      </c>
      <c r="E30" s="55"/>
      <c r="F30" s="55">
        <v>250</v>
      </c>
      <c r="G30" s="55">
        <v>225</v>
      </c>
      <c r="H30" s="55">
        <v>12.5</v>
      </c>
      <c r="I30" s="56">
        <v>300</v>
      </c>
      <c r="J30" s="56">
        <f t="shared" si="15"/>
        <v>3600</v>
      </c>
      <c r="K30" s="56">
        <f t="shared" si="5"/>
        <v>360</v>
      </c>
      <c r="L30" s="56">
        <f t="shared" si="6"/>
        <v>300</v>
      </c>
      <c r="M30" s="56">
        <v>232</v>
      </c>
      <c r="N30" s="56">
        <v>150</v>
      </c>
      <c r="O30" s="56">
        <v>250</v>
      </c>
      <c r="P30" s="56"/>
      <c r="Q30" s="56">
        <f>SUM(K30:O30)</f>
        <v>1292</v>
      </c>
      <c r="R30" s="56">
        <f>J30+Q30</f>
        <v>4892</v>
      </c>
      <c r="S30" s="56">
        <f t="shared" si="7"/>
        <v>19568000</v>
      </c>
      <c r="T30" s="56"/>
      <c r="U30" s="56">
        <f t="shared" si="8"/>
        <v>787.5</v>
      </c>
      <c r="V30" s="58">
        <f t="shared" si="9"/>
        <v>3115500</v>
      </c>
      <c r="W30" s="59">
        <v>1</v>
      </c>
      <c r="X30" s="59">
        <v>1</v>
      </c>
      <c r="Y30" s="59">
        <f>W30+X30</f>
        <v>2</v>
      </c>
      <c r="Z30" s="60">
        <f>(W30+X30)*150000</f>
        <v>300000</v>
      </c>
      <c r="AA30" s="61">
        <f>V30-Z30</f>
        <v>2815500</v>
      </c>
      <c r="AB30" s="62" t="str">
        <f>IF(AA30&lt;=1200000,"0%",IF(AA30&lt;=2000000,"5%",IF(AA30&lt;=8500000,"10%",IF(AA30&lt;=12500000,"15%",IF(AA30&gt;12500000,"20%")))))</f>
        <v>10%</v>
      </c>
      <c r="AC30" s="58"/>
      <c r="AD30" s="58"/>
      <c r="AE30" s="63">
        <f>IF(IF(AA30&lt;=120000,0,IF(AA30&lt;=2000000,(AA30*5%-60000),IF(AA30&lt;=8500000,(AA30*10%-160000),IF(AA30&lt;=12500000,(AA30*15%-585000),IF(AA30&gt;12500000,((AA30*20%-1210000)))))))&lt;0,0,IF(AA30&lt;=120000,0,IF(AA30&lt;=2000000,(AA30*5%-60000),IF(AA30&lt;=8500000,(AA30*10%-160000),IF(AA30&lt;=12500000,(AA30*15%-585000),IF(AA30&gt;12500000,((AA30*20%-1210000))))))))</f>
        <v>121550</v>
      </c>
      <c r="AF30" s="64">
        <f>AE30/$B$3</f>
        <v>30.236318407960198</v>
      </c>
      <c r="AG30" s="65"/>
      <c r="AH30" s="66"/>
      <c r="AI30" s="67"/>
      <c r="AJ30" s="81"/>
      <c r="AK30" s="82"/>
      <c r="AM30" s="71">
        <v>0</v>
      </c>
      <c r="AN30" s="71">
        <f t="shared" si="3"/>
        <v>787.5</v>
      </c>
      <c r="AO30" s="71"/>
    </row>
    <row r="31" spans="1:41" s="72" customFormat="1" ht="17.25" customHeight="1" x14ac:dyDescent="0.25">
      <c r="A31" s="52">
        <v>4</v>
      </c>
      <c r="B31" s="83" t="s">
        <v>332</v>
      </c>
      <c r="C31" s="54" t="s">
        <v>333</v>
      </c>
      <c r="D31" s="55">
        <f t="shared" si="4"/>
        <v>1732.2636815920398</v>
      </c>
      <c r="E31" s="55"/>
      <c r="F31" s="55">
        <v>208.33333333333331</v>
      </c>
      <c r="G31" s="55">
        <v>750</v>
      </c>
      <c r="H31" s="55">
        <v>12.5</v>
      </c>
      <c r="I31" s="56">
        <v>900</v>
      </c>
      <c r="J31" s="56">
        <f t="shared" si="15"/>
        <v>10800</v>
      </c>
      <c r="K31" s="56">
        <f t="shared" si="5"/>
        <v>1080</v>
      </c>
      <c r="L31" s="56">
        <f t="shared" si="6"/>
        <v>900</v>
      </c>
      <c r="M31" s="56">
        <v>232</v>
      </c>
      <c r="N31" s="56">
        <v>150</v>
      </c>
      <c r="O31" s="56">
        <v>250</v>
      </c>
      <c r="P31" s="56"/>
      <c r="Q31" s="56">
        <f>SUM(K31:O31)</f>
        <v>2612</v>
      </c>
      <c r="R31" s="56">
        <f>J31+Q31</f>
        <v>13412</v>
      </c>
      <c r="S31" s="56">
        <f t="shared" si="7"/>
        <v>53648000</v>
      </c>
      <c r="T31" s="56"/>
      <c r="U31" s="56">
        <f t="shared" si="8"/>
        <v>1870.8333333333333</v>
      </c>
      <c r="V31" s="58">
        <f t="shared" si="9"/>
        <v>7470500</v>
      </c>
      <c r="W31" s="59">
        <v>1</v>
      </c>
      <c r="X31" s="59">
        <v>1</v>
      </c>
      <c r="Y31" s="59">
        <f>W31+X31</f>
        <v>2</v>
      </c>
      <c r="Z31" s="60">
        <f>(W31+X31)*150000</f>
        <v>300000</v>
      </c>
      <c r="AA31" s="61">
        <f>V31-Z31</f>
        <v>7170500</v>
      </c>
      <c r="AB31" s="62" t="str">
        <f>IF(AA31&lt;=1200000,"0%",IF(AA31&lt;=2000000,"5%",IF(AA31&lt;=8500000,"10%",IF(AA31&lt;=12500000,"15%",IF(AA31&gt;12500000,"20%")))))</f>
        <v>10%</v>
      </c>
      <c r="AC31" s="58"/>
      <c r="AD31" s="58"/>
      <c r="AE31" s="63">
        <f>IF(IF(AA31&lt;=120000,0,IF(AA31&lt;=2000000,(AA31*5%-60000),IF(AA31&lt;=8500000,(AA31*10%-160000),IF(AA31&lt;=12500000,(AA31*15%-585000),IF(AA31&gt;12500000,((AA31*20%-1210000)))))))&lt;0,0,IF(AA31&lt;=120000,0,IF(AA31&lt;=2000000,(AA31*5%-60000),IF(AA31&lt;=8500000,(AA31*10%-160000),IF(AA31&lt;=12500000,(AA31*15%-585000),IF(AA31&gt;12500000,((AA31*20%-1210000))))))))</f>
        <v>557050</v>
      </c>
      <c r="AF31" s="64">
        <f>AE31/$B$3</f>
        <v>138.56965174129354</v>
      </c>
      <c r="AG31" s="65"/>
      <c r="AH31" s="66"/>
      <c r="AI31" s="67"/>
      <c r="AJ31" s="79"/>
      <c r="AK31" s="80"/>
      <c r="AM31" s="71">
        <v>43.316953316953317</v>
      </c>
      <c r="AN31" s="71">
        <f t="shared" si="3"/>
        <v>1827.51638001638</v>
      </c>
      <c r="AO31" s="71"/>
    </row>
    <row r="32" spans="1:41" s="72" customFormat="1" ht="25.5" customHeight="1" x14ac:dyDescent="0.2">
      <c r="A32" s="52"/>
      <c r="B32" s="75" t="s">
        <v>317</v>
      </c>
      <c r="C32" s="84"/>
      <c r="D32" s="76">
        <f>ROUND(SUM(D28:D31),2)</f>
        <v>15107.5</v>
      </c>
      <c r="E32" s="76">
        <f>ROUND(SUM(E28:E31),2)</f>
        <v>8323.98</v>
      </c>
      <c r="F32" s="76">
        <f>ROUND(SUM(F28:F31),2)</f>
        <v>958.33</v>
      </c>
      <c r="G32" s="76">
        <f>ROUND(SUM(G28:G31),2)</f>
        <v>2749.5</v>
      </c>
      <c r="H32" s="76">
        <f>SUM(H28:H31)</f>
        <v>50</v>
      </c>
      <c r="I32" s="76">
        <f>SUM(I28:I31)</f>
        <v>3566</v>
      </c>
      <c r="J32" s="76">
        <f>SUM(J28:J31)</f>
        <v>42792</v>
      </c>
      <c r="K32" s="76">
        <f t="shared" ref="K32:S32" si="21">SUM(K28:K31)</f>
        <v>4279.2</v>
      </c>
      <c r="L32" s="76">
        <f t="shared" si="21"/>
        <v>3566</v>
      </c>
      <c r="M32" s="76">
        <f t="shared" si="21"/>
        <v>928</v>
      </c>
      <c r="N32" s="76">
        <f t="shared" si="21"/>
        <v>600</v>
      </c>
      <c r="O32" s="76">
        <f t="shared" si="21"/>
        <v>1000</v>
      </c>
      <c r="P32" s="76">
        <f t="shared" si="21"/>
        <v>8323.98</v>
      </c>
      <c r="Q32" s="76">
        <f t="shared" si="21"/>
        <v>10373.200000000001</v>
      </c>
      <c r="R32" s="76">
        <f t="shared" si="21"/>
        <v>53165.2</v>
      </c>
      <c r="S32" s="76">
        <f t="shared" si="21"/>
        <v>212660800</v>
      </c>
      <c r="T32" s="56"/>
      <c r="U32" s="76">
        <f>SUM(U28:U31)</f>
        <v>7323.833333333333</v>
      </c>
      <c r="V32" s="77">
        <f t="shared" ref="V32:AF32" si="22">ROUND(SUM(V28:V31),2)</f>
        <v>29240810</v>
      </c>
      <c r="W32" s="77">
        <f t="shared" si="22"/>
        <v>6</v>
      </c>
      <c r="X32" s="77">
        <f t="shared" si="22"/>
        <v>4</v>
      </c>
      <c r="Y32" s="77">
        <f t="shared" si="22"/>
        <v>10</v>
      </c>
      <c r="Z32" s="77">
        <f t="shared" si="22"/>
        <v>1500000</v>
      </c>
      <c r="AA32" s="77">
        <f t="shared" si="22"/>
        <v>27740810</v>
      </c>
      <c r="AB32" s="77">
        <f t="shared" si="22"/>
        <v>0</v>
      </c>
      <c r="AC32" s="77">
        <f t="shared" si="22"/>
        <v>0</v>
      </c>
      <c r="AD32" s="77">
        <f t="shared" si="22"/>
        <v>0</v>
      </c>
      <c r="AE32" s="77">
        <f t="shared" si="22"/>
        <v>2172059</v>
      </c>
      <c r="AF32" s="76">
        <f t="shared" si="22"/>
        <v>540.30999999999995</v>
      </c>
      <c r="AG32" s="77"/>
      <c r="AH32" s="77"/>
      <c r="AI32" s="76"/>
      <c r="AJ32" s="85">
        <f>SUM(AJ9:AJ21)</f>
        <v>28.810000000000002</v>
      </c>
      <c r="AK32" s="86"/>
      <c r="AM32" s="71">
        <f>SUM(AM28:AM31)</f>
        <v>179.17985257985256</v>
      </c>
      <c r="AN32" s="71">
        <f t="shared" si="3"/>
        <v>7144.6534807534808</v>
      </c>
      <c r="AO32" s="71">
        <f>SUM(AN28:AN31)</f>
        <v>7144.6534807534808</v>
      </c>
    </row>
    <row r="33" spans="1:41" s="72" customFormat="1" ht="17.25" customHeight="1" x14ac:dyDescent="0.25">
      <c r="A33" s="52">
        <v>1</v>
      </c>
      <c r="B33" s="83" t="s">
        <v>334</v>
      </c>
      <c r="C33" s="54" t="s">
        <v>335</v>
      </c>
      <c r="D33" s="55">
        <f>SUM(F33+G33+H33+I33+AC33+E33-AD33-AF33)+0.01</f>
        <v>1933.3711815920399</v>
      </c>
      <c r="E33" s="55"/>
      <c r="F33" s="55">
        <v>220.62499999999997</v>
      </c>
      <c r="G33" s="55">
        <v>791.15</v>
      </c>
      <c r="H33" s="55">
        <v>12.5</v>
      </c>
      <c r="I33" s="56">
        <v>1070</v>
      </c>
      <c r="J33" s="56">
        <f t="shared" si="15"/>
        <v>12840</v>
      </c>
      <c r="K33" s="56">
        <f t="shared" si="5"/>
        <v>1284</v>
      </c>
      <c r="L33" s="56">
        <f t="shared" si="6"/>
        <v>1070</v>
      </c>
      <c r="M33" s="56">
        <v>232</v>
      </c>
      <c r="N33" s="56">
        <v>150</v>
      </c>
      <c r="O33" s="56">
        <v>250</v>
      </c>
      <c r="P33" s="56"/>
      <c r="Q33" s="56">
        <f>SUM(K33:O33)</f>
        <v>2986</v>
      </c>
      <c r="R33" s="56">
        <f>J33+Q33</f>
        <v>15826</v>
      </c>
      <c r="S33" s="56">
        <f t="shared" si="7"/>
        <v>63304000</v>
      </c>
      <c r="T33" s="56"/>
      <c r="U33" s="56">
        <f t="shared" si="8"/>
        <v>2094.2750000000001</v>
      </c>
      <c r="V33" s="58">
        <f t="shared" si="9"/>
        <v>8368735.5</v>
      </c>
      <c r="W33" s="59">
        <v>1</v>
      </c>
      <c r="X33" s="59">
        <v>1</v>
      </c>
      <c r="Y33" s="59">
        <f>W33+X33</f>
        <v>2</v>
      </c>
      <c r="Z33" s="60">
        <f>(W33+X33)*150000</f>
        <v>300000</v>
      </c>
      <c r="AA33" s="61">
        <f>V33-Z33</f>
        <v>8068735.5</v>
      </c>
      <c r="AB33" s="62" t="str">
        <f>IF(AA33&lt;=1200000,"0%",IF(AA33&lt;=2000000,"5%",IF(AA33&lt;=8500000,"10%",IF(AA33&lt;=12500000,"15%",IF(AA33&gt;12500000,"20%")))))</f>
        <v>10%</v>
      </c>
      <c r="AC33" s="58"/>
      <c r="AD33" s="58"/>
      <c r="AE33" s="63">
        <f>IF(IF(AA33&lt;=120000,0,IF(AA33&lt;=2000000,(AA33*5%-60000),IF(AA33&lt;=8500000,(AA33*10%-160000),IF(AA33&lt;=12500000,(AA33*15%-585000),IF(AA33&gt;12500000,((AA33*20%-1210000)))))))&lt;0,0,IF(AA33&lt;=120000,0,IF(AA33&lt;=2000000,(AA33*5%-60000),IF(AA33&lt;=8500000,(AA33*10%-160000),IF(AA33&lt;=12500000,(AA33*15%-585000),IF(AA33&gt;12500000,((AA33*20%-1210000))))))))</f>
        <v>646873.55000000005</v>
      </c>
      <c r="AF33" s="64">
        <f>AE33/$B$3</f>
        <v>160.91381840796021</v>
      </c>
      <c r="AG33" s="65"/>
      <c r="AH33" s="66"/>
      <c r="AI33" s="67"/>
      <c r="AJ33" s="80"/>
      <c r="AK33" s="80"/>
      <c r="AM33" s="71">
        <v>38.76</v>
      </c>
      <c r="AN33" s="71">
        <f t="shared" si="3"/>
        <v>2055.5149999999999</v>
      </c>
      <c r="AO33" s="71"/>
    </row>
    <row r="34" spans="1:41" s="72" customFormat="1" ht="17.25" customHeight="1" x14ac:dyDescent="0.25">
      <c r="A34" s="52">
        <v>2</v>
      </c>
      <c r="B34" s="83" t="s">
        <v>336</v>
      </c>
      <c r="C34" s="54" t="s">
        <v>337</v>
      </c>
      <c r="D34" s="55">
        <f t="shared" si="4"/>
        <v>1320.4009950248756</v>
      </c>
      <c r="E34" s="55"/>
      <c r="F34" s="55">
        <v>125</v>
      </c>
      <c r="G34" s="55">
        <v>428</v>
      </c>
      <c r="H34" s="55">
        <v>12.5</v>
      </c>
      <c r="I34" s="56">
        <v>856</v>
      </c>
      <c r="J34" s="56">
        <f t="shared" si="15"/>
        <v>10272</v>
      </c>
      <c r="K34" s="56">
        <f t="shared" si="5"/>
        <v>1027.2</v>
      </c>
      <c r="L34" s="56">
        <f t="shared" si="6"/>
        <v>856</v>
      </c>
      <c r="M34" s="56">
        <v>232</v>
      </c>
      <c r="N34" s="56">
        <v>150</v>
      </c>
      <c r="O34" s="56">
        <v>250</v>
      </c>
      <c r="P34" s="56"/>
      <c r="Q34" s="56">
        <f>SUM(K34:O34)</f>
        <v>2515.1999999999998</v>
      </c>
      <c r="R34" s="56">
        <f>J34+Q34</f>
        <v>12787.2</v>
      </c>
      <c r="S34" s="56">
        <f t="shared" si="7"/>
        <v>51148800</v>
      </c>
      <c r="T34" s="56"/>
      <c r="U34" s="56">
        <f t="shared" si="8"/>
        <v>1421.5</v>
      </c>
      <c r="V34" s="58">
        <f t="shared" si="9"/>
        <v>5664180</v>
      </c>
      <c r="W34" s="59">
        <v>0</v>
      </c>
      <c r="X34" s="59">
        <v>0</v>
      </c>
      <c r="Y34" s="59">
        <f>W34+X34</f>
        <v>0</v>
      </c>
      <c r="Z34" s="60">
        <f>(W34+X34)*150000</f>
        <v>0</v>
      </c>
      <c r="AA34" s="61">
        <f>V34-Z34</f>
        <v>5664180</v>
      </c>
      <c r="AB34" s="62" t="str">
        <f>IF(AA34&lt;=1200000,"0%",IF(AA34&lt;=2000000,"5%",IF(AA34&lt;=8500000,"10%",IF(AA34&lt;=12500000,"15%",IF(AA34&gt;12500000,"20%")))))</f>
        <v>10%</v>
      </c>
      <c r="AC34" s="58"/>
      <c r="AD34" s="58"/>
      <c r="AE34" s="63">
        <f>IF(IF(AA34&lt;=120000,0,IF(AA34&lt;=2000000,(AA34*5%-60000),IF(AA34&lt;=8500000,(AA34*10%-160000),IF(AA34&lt;=12500000,(AA34*15%-585000),IF(AA34&gt;12500000,((AA34*20%-1210000)))))))&lt;0,0,IF(AA34&lt;=120000,0,IF(AA34&lt;=2000000,(AA34*5%-60000),IF(AA34&lt;=8500000,(AA34*10%-160000),IF(AA34&lt;=12500000,(AA34*15%-585000),IF(AA34&gt;12500000,((AA34*20%-1210000))))))))</f>
        <v>406418</v>
      </c>
      <c r="AF34" s="64">
        <f>AE34/$B$3</f>
        <v>101.09900497512437</v>
      </c>
      <c r="AG34" s="65"/>
      <c r="AH34" s="66"/>
      <c r="AI34" s="67"/>
      <c r="AJ34" s="80"/>
      <c r="AK34" s="80"/>
      <c r="AM34" s="71"/>
      <c r="AN34" s="71"/>
      <c r="AO34" s="71"/>
    </row>
    <row r="35" spans="1:41" s="72" customFormat="1" ht="27" customHeight="1" x14ac:dyDescent="0.2">
      <c r="A35" s="52"/>
      <c r="B35" s="75" t="s">
        <v>317</v>
      </c>
      <c r="C35" s="84"/>
      <c r="D35" s="76">
        <f>ROUND(SUM(D33:D34),2)</f>
        <v>3253.77</v>
      </c>
      <c r="E35" s="76">
        <f>ROUND(SUM(E33:E34),2)</f>
        <v>0</v>
      </c>
      <c r="F35" s="76">
        <f>ROUND(SUM(F33:F34),2)</f>
        <v>345.63</v>
      </c>
      <c r="G35" s="76">
        <f>ROUND(SUM(G33:G34),2)</f>
        <v>1219.1500000000001</v>
      </c>
      <c r="H35" s="76">
        <f>SUM(H33:H34)</f>
        <v>25</v>
      </c>
      <c r="I35" s="76">
        <f>SUM(I33:I34)</f>
        <v>1926</v>
      </c>
      <c r="J35" s="76">
        <f>SUM(J33:J34)</f>
        <v>23112</v>
      </c>
      <c r="K35" s="76">
        <f t="shared" ref="K35:S35" si="23">SUM(K33:K34)</f>
        <v>2311.1999999999998</v>
      </c>
      <c r="L35" s="76">
        <f t="shared" si="23"/>
        <v>1926</v>
      </c>
      <c r="M35" s="76">
        <f t="shared" si="23"/>
        <v>464</v>
      </c>
      <c r="N35" s="76">
        <f t="shared" si="23"/>
        <v>300</v>
      </c>
      <c r="O35" s="76">
        <f t="shared" si="23"/>
        <v>500</v>
      </c>
      <c r="P35" s="76">
        <f t="shared" si="23"/>
        <v>0</v>
      </c>
      <c r="Q35" s="76">
        <f t="shared" si="23"/>
        <v>5501.2</v>
      </c>
      <c r="R35" s="76">
        <f t="shared" si="23"/>
        <v>28613.200000000001</v>
      </c>
      <c r="S35" s="76">
        <f t="shared" si="23"/>
        <v>114452800</v>
      </c>
      <c r="T35" s="56"/>
      <c r="U35" s="76">
        <f>SUM(U33:U34)</f>
        <v>3515.7750000000001</v>
      </c>
      <c r="V35" s="77">
        <f t="shared" ref="V35:AL35" si="24">ROUND(SUM(V33:V34),2)</f>
        <v>14032915.5</v>
      </c>
      <c r="W35" s="77">
        <f t="shared" si="24"/>
        <v>1</v>
      </c>
      <c r="X35" s="77">
        <f t="shared" si="24"/>
        <v>1</v>
      </c>
      <c r="Y35" s="77">
        <f t="shared" si="24"/>
        <v>2</v>
      </c>
      <c r="Z35" s="77">
        <f t="shared" si="24"/>
        <v>300000</v>
      </c>
      <c r="AA35" s="77">
        <f t="shared" si="24"/>
        <v>13732915.5</v>
      </c>
      <c r="AB35" s="77">
        <f t="shared" si="24"/>
        <v>0</v>
      </c>
      <c r="AC35" s="77">
        <f t="shared" si="24"/>
        <v>0</v>
      </c>
      <c r="AD35" s="77">
        <f t="shared" si="24"/>
        <v>0</v>
      </c>
      <c r="AE35" s="77">
        <f t="shared" si="24"/>
        <v>1053291.55</v>
      </c>
      <c r="AF35" s="76">
        <f t="shared" si="24"/>
        <v>262.01</v>
      </c>
      <c r="AG35" s="77">
        <f t="shared" si="24"/>
        <v>0</v>
      </c>
      <c r="AH35" s="77">
        <f t="shared" si="24"/>
        <v>0</v>
      </c>
      <c r="AI35" s="77">
        <f t="shared" si="24"/>
        <v>0</v>
      </c>
      <c r="AJ35" s="77">
        <f t="shared" si="24"/>
        <v>0</v>
      </c>
      <c r="AK35" s="77">
        <f t="shared" si="24"/>
        <v>0</v>
      </c>
      <c r="AL35" s="77">
        <f t="shared" si="24"/>
        <v>0</v>
      </c>
      <c r="AM35" s="71">
        <f>SUM(AM33:AM34)</f>
        <v>38.76</v>
      </c>
      <c r="AN35" s="71">
        <f t="shared" si="3"/>
        <v>3477.0149999999999</v>
      </c>
      <c r="AO35" s="71">
        <f>SUM(AN33:AN34)</f>
        <v>2055.5149999999999</v>
      </c>
    </row>
    <row r="36" spans="1:41" s="72" customFormat="1" ht="18.75" customHeight="1" x14ac:dyDescent="0.2">
      <c r="A36" s="52">
        <v>1</v>
      </c>
      <c r="B36" s="54" t="s">
        <v>338</v>
      </c>
      <c r="C36" s="54" t="s">
        <v>339</v>
      </c>
      <c r="D36" s="55">
        <f t="shared" si="4"/>
        <v>1725.476368159204</v>
      </c>
      <c r="E36" s="55"/>
      <c r="F36" s="55">
        <v>125</v>
      </c>
      <c r="G36" s="55">
        <v>572.5</v>
      </c>
      <c r="H36" s="55">
        <v>12.5</v>
      </c>
      <c r="I36" s="56">
        <v>1145</v>
      </c>
      <c r="J36" s="56">
        <f t="shared" si="15"/>
        <v>13740</v>
      </c>
      <c r="K36" s="56">
        <f t="shared" si="5"/>
        <v>1374</v>
      </c>
      <c r="L36" s="56">
        <f t="shared" si="6"/>
        <v>1145</v>
      </c>
      <c r="M36" s="56">
        <v>232</v>
      </c>
      <c r="N36" s="56">
        <v>150</v>
      </c>
      <c r="O36" s="56">
        <v>250</v>
      </c>
      <c r="P36" s="56"/>
      <c r="Q36" s="56">
        <f>SUM(K36:O36)</f>
        <v>3151</v>
      </c>
      <c r="R36" s="56">
        <f>J36+Q36</f>
        <v>16891</v>
      </c>
      <c r="S36" s="56">
        <f t="shared" si="7"/>
        <v>67564000</v>
      </c>
      <c r="T36" s="56"/>
      <c r="U36" s="56">
        <f t="shared" si="8"/>
        <v>1855</v>
      </c>
      <c r="V36" s="58">
        <f t="shared" si="9"/>
        <v>7406850</v>
      </c>
      <c r="W36" s="59">
        <v>3</v>
      </c>
      <c r="X36" s="59">
        <v>1</v>
      </c>
      <c r="Y36" s="59">
        <f>W36+X36</f>
        <v>4</v>
      </c>
      <c r="Z36" s="60">
        <f>(W36+X36)*150000</f>
        <v>600000</v>
      </c>
      <c r="AA36" s="61">
        <f>V36-Z36</f>
        <v>6806850</v>
      </c>
      <c r="AB36" s="62" t="str">
        <f>IF(AA36&lt;=1200000,"0%",IF(AA36&lt;=2000000,"5%",IF(AA36&lt;=8500000,"10%",IF(AA36&lt;=12500000,"15%",IF(AA36&gt;12500000,"20%")))))</f>
        <v>10%</v>
      </c>
      <c r="AC36" s="58"/>
      <c r="AD36" s="58"/>
      <c r="AE36" s="63">
        <f>IF(IF(AA36&lt;=120000,0,IF(AA36&lt;=2000000,(AA36*5%-60000),IF(AA36&lt;=8500000,(AA36*10%-160000),IF(AA36&lt;=12500000,(AA36*15%-585000),IF(AA36&gt;12500000,((AA36*20%-1210000)))))))&lt;0,0,IF(AA36&lt;=120000,0,IF(AA36&lt;=2000000,(AA36*5%-60000),IF(AA36&lt;=8500000,(AA36*10%-160000),IF(AA36&lt;=12500000,(AA36*15%-585000),IF(AA36&gt;12500000,((AA36*20%-1210000))))))))</f>
        <v>520685</v>
      </c>
      <c r="AF36" s="64">
        <f>AE36/$B$3</f>
        <v>129.52363184079601</v>
      </c>
      <c r="AG36" s="77"/>
      <c r="AH36" s="77"/>
      <c r="AI36" s="77"/>
      <c r="AJ36" s="87"/>
      <c r="AK36" s="88"/>
      <c r="AL36" s="88"/>
      <c r="AM36" s="71"/>
      <c r="AN36" s="71"/>
      <c r="AO36" s="71"/>
    </row>
    <row r="37" spans="1:41" s="72" customFormat="1" ht="35.25" customHeight="1" x14ac:dyDescent="0.2">
      <c r="A37" s="52"/>
      <c r="B37" s="75" t="s">
        <v>317</v>
      </c>
      <c r="C37" s="84"/>
      <c r="D37" s="76">
        <f t="shared" ref="D37:AF37" si="25">ROUND(SUM(D36:D36),2)</f>
        <v>1725.48</v>
      </c>
      <c r="E37" s="76">
        <f t="shared" si="25"/>
        <v>0</v>
      </c>
      <c r="F37" s="76">
        <f t="shared" si="25"/>
        <v>125</v>
      </c>
      <c r="G37" s="76">
        <f t="shared" si="25"/>
        <v>572.5</v>
      </c>
      <c r="H37" s="76">
        <f t="shared" si="25"/>
        <v>12.5</v>
      </c>
      <c r="I37" s="76">
        <f t="shared" si="25"/>
        <v>1145</v>
      </c>
      <c r="J37" s="76">
        <f t="shared" si="25"/>
        <v>13740</v>
      </c>
      <c r="K37" s="76">
        <f t="shared" si="25"/>
        <v>1374</v>
      </c>
      <c r="L37" s="76">
        <f t="shared" si="25"/>
        <v>1145</v>
      </c>
      <c r="M37" s="76">
        <f t="shared" si="25"/>
        <v>232</v>
      </c>
      <c r="N37" s="76">
        <f t="shared" si="25"/>
        <v>150</v>
      </c>
      <c r="O37" s="76">
        <f t="shared" si="25"/>
        <v>250</v>
      </c>
      <c r="P37" s="76">
        <f t="shared" si="25"/>
        <v>0</v>
      </c>
      <c r="Q37" s="76">
        <f t="shared" si="25"/>
        <v>3151</v>
      </c>
      <c r="R37" s="76">
        <f t="shared" si="25"/>
        <v>16891</v>
      </c>
      <c r="S37" s="76">
        <f t="shared" si="25"/>
        <v>67564000</v>
      </c>
      <c r="T37" s="56"/>
      <c r="U37" s="76">
        <f t="shared" si="25"/>
        <v>1855</v>
      </c>
      <c r="V37" s="76">
        <f t="shared" si="25"/>
        <v>7406850</v>
      </c>
      <c r="W37" s="77">
        <f t="shared" si="25"/>
        <v>3</v>
      </c>
      <c r="X37" s="77">
        <f t="shared" si="25"/>
        <v>1</v>
      </c>
      <c r="Y37" s="77">
        <f t="shared" si="25"/>
        <v>4</v>
      </c>
      <c r="Z37" s="77">
        <f t="shared" si="25"/>
        <v>600000</v>
      </c>
      <c r="AA37" s="77">
        <f t="shared" si="25"/>
        <v>6806850</v>
      </c>
      <c r="AB37" s="77">
        <f t="shared" si="25"/>
        <v>0</v>
      </c>
      <c r="AC37" s="77">
        <f t="shared" si="25"/>
        <v>0</v>
      </c>
      <c r="AD37" s="77">
        <f t="shared" si="25"/>
        <v>0</v>
      </c>
      <c r="AE37" s="77">
        <f t="shared" si="25"/>
        <v>520685</v>
      </c>
      <c r="AF37" s="76">
        <f t="shared" si="25"/>
        <v>129.52000000000001</v>
      </c>
      <c r="AG37" s="77"/>
      <c r="AH37" s="77"/>
      <c r="AI37" s="77"/>
      <c r="AJ37" s="88"/>
      <c r="AK37" s="88"/>
      <c r="AL37" s="88"/>
      <c r="AM37" s="71"/>
      <c r="AN37" s="71"/>
      <c r="AO37" s="71"/>
    </row>
    <row r="38" spans="1:41" s="72" customFormat="1" ht="30" customHeight="1" x14ac:dyDescent="0.25">
      <c r="A38" s="52">
        <v>1</v>
      </c>
      <c r="B38" s="83" t="s">
        <v>246</v>
      </c>
      <c r="C38" s="54" t="s">
        <v>340</v>
      </c>
      <c r="D38" s="55">
        <f t="shared" si="4"/>
        <v>6205.8459328358203</v>
      </c>
      <c r="E38" s="55">
        <v>3725.62</v>
      </c>
      <c r="F38" s="55">
        <v>250</v>
      </c>
      <c r="G38" s="55">
        <v>1055.25</v>
      </c>
      <c r="H38" s="55">
        <v>12.5</v>
      </c>
      <c r="I38" s="56">
        <v>1407</v>
      </c>
      <c r="J38" s="56">
        <f t="shared" si="15"/>
        <v>16884</v>
      </c>
      <c r="K38" s="56">
        <f t="shared" si="5"/>
        <v>1688.4</v>
      </c>
      <c r="L38" s="56">
        <f t="shared" si="6"/>
        <v>1407</v>
      </c>
      <c r="M38" s="56">
        <v>232</v>
      </c>
      <c r="N38" s="56">
        <v>150</v>
      </c>
      <c r="O38" s="56">
        <v>250</v>
      </c>
      <c r="P38" s="56">
        <v>3725.62</v>
      </c>
      <c r="Q38" s="56">
        <f t="shared" ref="Q38:Q45" si="26">SUM(K38:O38)</f>
        <v>3727.4</v>
      </c>
      <c r="R38" s="56">
        <f t="shared" ref="R38:R45" si="27">J38+Q38</f>
        <v>20611.400000000001</v>
      </c>
      <c r="S38" s="57">
        <f t="shared" si="7"/>
        <v>82445600</v>
      </c>
      <c r="T38" s="56"/>
      <c r="U38" s="56">
        <f t="shared" si="8"/>
        <v>2724.75</v>
      </c>
      <c r="V38" s="58">
        <f t="shared" si="9"/>
        <v>10903245</v>
      </c>
      <c r="W38" s="59">
        <v>2</v>
      </c>
      <c r="X38" s="59">
        <v>1</v>
      </c>
      <c r="Y38" s="59">
        <f t="shared" ref="Y38:Y45" si="28">W38+X38</f>
        <v>3</v>
      </c>
      <c r="Z38" s="60">
        <f t="shared" si="18"/>
        <v>450000</v>
      </c>
      <c r="AA38" s="61">
        <f t="shared" ref="AA38:AA45" si="29">V38-Z38</f>
        <v>10453245</v>
      </c>
      <c r="AB38" s="62" t="str">
        <f t="shared" si="19"/>
        <v>15%</v>
      </c>
      <c r="AC38" s="58"/>
      <c r="AD38" s="58"/>
      <c r="AE38" s="63">
        <f t="shared" ref="AE38:AE45" si="30">IF(IF(AA38&lt;=120000,0,IF(AA38&lt;=2000000,(AA38*5%-60000),IF(AA38&lt;=8500000,(AA38*10%-160000),IF(AA38&lt;=12500000,(AA38*15%-585000),IF(AA38&gt;12500000,((AA38*20%-1210000)))))))&lt;0,0,IF(AA38&lt;=120000,0,IF(AA38&lt;=2000000,(AA38*5%-60000),IF(AA38&lt;=8500000,(AA38*10%-160000),IF(AA38&lt;=12500000,(AA38*15%-585000),IF(AA38&gt;12500000,((AA38*20%-1210000))))))))</f>
        <v>982986.75</v>
      </c>
      <c r="AF38" s="64">
        <f t="shared" ref="AF38:AF45" si="31">AE38/$B$3</f>
        <v>244.52406716417912</v>
      </c>
      <c r="AG38" s="65"/>
      <c r="AH38" s="66"/>
      <c r="AI38" s="67"/>
      <c r="AJ38" s="81"/>
      <c r="AK38" s="86"/>
      <c r="AM38" s="71">
        <v>90.16</v>
      </c>
      <c r="AN38" s="71">
        <f t="shared" si="3"/>
        <v>2634.59</v>
      </c>
      <c r="AO38" s="71"/>
    </row>
    <row r="39" spans="1:41" s="72" customFormat="1" ht="24" customHeight="1" x14ac:dyDescent="0.25">
      <c r="A39" s="52">
        <v>2</v>
      </c>
      <c r="B39" s="83" t="s">
        <v>341</v>
      </c>
      <c r="C39" s="54" t="s">
        <v>342</v>
      </c>
      <c r="D39" s="55">
        <f t="shared" si="4"/>
        <v>7865.9259328358212</v>
      </c>
      <c r="E39" s="55">
        <v>5707</v>
      </c>
      <c r="F39" s="55">
        <v>250</v>
      </c>
      <c r="G39" s="55">
        <v>893.25</v>
      </c>
      <c r="H39" s="55">
        <v>12.5</v>
      </c>
      <c r="I39" s="56">
        <v>1191</v>
      </c>
      <c r="J39" s="56">
        <f t="shared" si="15"/>
        <v>14292</v>
      </c>
      <c r="K39" s="56">
        <f t="shared" si="5"/>
        <v>1429.2</v>
      </c>
      <c r="L39" s="56">
        <f t="shared" si="6"/>
        <v>1191</v>
      </c>
      <c r="M39" s="56">
        <v>232</v>
      </c>
      <c r="N39" s="56">
        <v>150</v>
      </c>
      <c r="O39" s="56">
        <v>250</v>
      </c>
      <c r="P39" s="56">
        <v>5707</v>
      </c>
      <c r="Q39" s="56">
        <f t="shared" si="26"/>
        <v>3252.2</v>
      </c>
      <c r="R39" s="56">
        <f t="shared" si="27"/>
        <v>17544.2</v>
      </c>
      <c r="S39" s="56">
        <f t="shared" si="7"/>
        <v>70176800</v>
      </c>
      <c r="T39" s="56"/>
      <c r="U39" s="56">
        <f t="shared" si="8"/>
        <v>2346.75</v>
      </c>
      <c r="V39" s="58">
        <f t="shared" si="9"/>
        <v>9383685</v>
      </c>
      <c r="W39" s="59">
        <v>2</v>
      </c>
      <c r="X39" s="59">
        <v>1</v>
      </c>
      <c r="Y39" s="59">
        <f t="shared" si="28"/>
        <v>3</v>
      </c>
      <c r="Z39" s="60">
        <f t="shared" si="18"/>
        <v>450000</v>
      </c>
      <c r="AA39" s="61">
        <f t="shared" si="29"/>
        <v>8933685</v>
      </c>
      <c r="AB39" s="62" t="str">
        <f t="shared" si="19"/>
        <v>15%</v>
      </c>
      <c r="AC39" s="58"/>
      <c r="AD39" s="58"/>
      <c r="AE39" s="63">
        <f t="shared" si="30"/>
        <v>755052.75</v>
      </c>
      <c r="AF39" s="64">
        <f t="shared" si="31"/>
        <v>187.8240671641791</v>
      </c>
      <c r="AG39" s="65"/>
      <c r="AH39" s="66"/>
      <c r="AI39" s="67"/>
      <c r="AJ39" s="79"/>
      <c r="AK39" s="80"/>
      <c r="AM39" s="71">
        <v>68.56</v>
      </c>
      <c r="AN39" s="71">
        <f t="shared" si="3"/>
        <v>2278.19</v>
      </c>
      <c r="AO39" s="71"/>
    </row>
    <row r="40" spans="1:41" s="72" customFormat="1" ht="24.75" customHeight="1" x14ac:dyDescent="0.25">
      <c r="A40" s="52">
        <v>3</v>
      </c>
      <c r="B40" s="54" t="s">
        <v>343</v>
      </c>
      <c r="C40" s="54" t="s">
        <v>344</v>
      </c>
      <c r="D40" s="55">
        <f t="shared" si="4"/>
        <v>1863.4950248756218</v>
      </c>
      <c r="E40" s="55"/>
      <c r="F40" s="55">
        <v>250</v>
      </c>
      <c r="G40" s="55">
        <v>750</v>
      </c>
      <c r="H40" s="55">
        <v>12.5</v>
      </c>
      <c r="I40" s="56">
        <v>1000</v>
      </c>
      <c r="J40" s="56">
        <f t="shared" si="15"/>
        <v>12000</v>
      </c>
      <c r="K40" s="56">
        <f t="shared" si="5"/>
        <v>1200</v>
      </c>
      <c r="L40" s="56">
        <f t="shared" si="6"/>
        <v>1000</v>
      </c>
      <c r="M40" s="56">
        <v>232</v>
      </c>
      <c r="N40" s="56">
        <v>150</v>
      </c>
      <c r="O40" s="56">
        <v>250</v>
      </c>
      <c r="P40" s="56"/>
      <c r="Q40" s="56">
        <f t="shared" si="26"/>
        <v>2832</v>
      </c>
      <c r="R40" s="56">
        <f t="shared" si="27"/>
        <v>14832</v>
      </c>
      <c r="S40" s="56">
        <f t="shared" si="7"/>
        <v>59328000</v>
      </c>
      <c r="T40" s="56"/>
      <c r="U40" s="56">
        <f t="shared" si="8"/>
        <v>2012.5</v>
      </c>
      <c r="V40" s="58">
        <f t="shared" si="9"/>
        <v>8040000</v>
      </c>
      <c r="W40" s="59">
        <v>2</v>
      </c>
      <c r="X40" s="59">
        <v>1</v>
      </c>
      <c r="Y40" s="59">
        <f t="shared" si="28"/>
        <v>3</v>
      </c>
      <c r="Z40" s="60">
        <f>(W40+X40)*150000</f>
        <v>450000</v>
      </c>
      <c r="AA40" s="61">
        <f t="shared" si="29"/>
        <v>7590000</v>
      </c>
      <c r="AB40" s="62" t="str">
        <f>IF(AA40&lt;=1200000,"0%",IF(AA40&lt;=2000000,"5%",IF(AA40&lt;=8500000,"10%",IF(AA40&lt;=12500000,"15%",IF(AA40&gt;12500000,"20%")))))</f>
        <v>10%</v>
      </c>
      <c r="AC40" s="58"/>
      <c r="AD40" s="58"/>
      <c r="AE40" s="63">
        <f t="shared" si="30"/>
        <v>599000</v>
      </c>
      <c r="AF40" s="64">
        <f t="shared" si="31"/>
        <v>149.00497512437812</v>
      </c>
      <c r="AG40" s="65"/>
      <c r="AH40" s="66"/>
      <c r="AI40" s="67"/>
      <c r="AJ40" s="81"/>
      <c r="AK40" s="82"/>
      <c r="AM40" s="71">
        <v>49.46</v>
      </c>
      <c r="AN40" s="71">
        <f t="shared" si="3"/>
        <v>1963.04</v>
      </c>
      <c r="AO40" s="71"/>
    </row>
    <row r="41" spans="1:41" s="72" customFormat="1" ht="29.25" customHeight="1" x14ac:dyDescent="0.25">
      <c r="A41" s="52">
        <v>4</v>
      </c>
      <c r="B41" s="54" t="s">
        <v>345</v>
      </c>
      <c r="C41" s="54" t="s">
        <v>346</v>
      </c>
      <c r="D41" s="55">
        <f t="shared" si="4"/>
        <v>1352.1199950248756</v>
      </c>
      <c r="E41" s="55"/>
      <c r="F41" s="55">
        <v>153.33333333333334</v>
      </c>
      <c r="G41" s="55">
        <v>490.91</v>
      </c>
      <c r="H41" s="55">
        <v>12.5</v>
      </c>
      <c r="I41" s="56">
        <v>800</v>
      </c>
      <c r="J41" s="56">
        <f t="shared" si="15"/>
        <v>9600</v>
      </c>
      <c r="K41" s="56">
        <f t="shared" si="5"/>
        <v>960</v>
      </c>
      <c r="L41" s="56">
        <f t="shared" si="6"/>
        <v>800</v>
      </c>
      <c r="M41" s="56">
        <v>232</v>
      </c>
      <c r="N41" s="56">
        <v>150</v>
      </c>
      <c r="O41" s="56">
        <v>250</v>
      </c>
      <c r="P41" s="56"/>
      <c r="Q41" s="56">
        <f t="shared" si="26"/>
        <v>2392</v>
      </c>
      <c r="R41" s="56">
        <f t="shared" si="27"/>
        <v>11992</v>
      </c>
      <c r="S41" s="56">
        <f t="shared" si="7"/>
        <v>47968000</v>
      </c>
      <c r="T41" s="56"/>
      <c r="U41" s="56">
        <f t="shared" si="8"/>
        <v>1456.7433333333333</v>
      </c>
      <c r="V41" s="58">
        <f t="shared" si="9"/>
        <v>5805858.2000000002</v>
      </c>
      <c r="W41" s="59">
        <v>0</v>
      </c>
      <c r="X41" s="59">
        <v>0</v>
      </c>
      <c r="Y41" s="59">
        <f t="shared" si="28"/>
        <v>0</v>
      </c>
      <c r="Z41" s="60">
        <f>(W41+X41)*150000</f>
        <v>0</v>
      </c>
      <c r="AA41" s="61">
        <f t="shared" si="29"/>
        <v>5805858.2000000002</v>
      </c>
      <c r="AB41" s="62" t="str">
        <f>IF(AA41&lt;=1200000,"0%",IF(AA41&lt;=2000000,"5%",IF(AA41&lt;=8500000,"10%",IF(AA41&lt;=12500000,"15%",IF(AA41&gt;12500000,"20%")))))</f>
        <v>10%</v>
      </c>
      <c r="AC41" s="58"/>
      <c r="AD41" s="58"/>
      <c r="AE41" s="63">
        <f t="shared" si="30"/>
        <v>420585.82000000007</v>
      </c>
      <c r="AF41" s="64">
        <f t="shared" si="31"/>
        <v>104.62333830845773</v>
      </c>
      <c r="AG41" s="65"/>
      <c r="AH41" s="66"/>
      <c r="AI41" s="67"/>
      <c r="AJ41" s="81"/>
      <c r="AK41" s="82"/>
      <c r="AM41" s="71"/>
      <c r="AN41" s="71"/>
      <c r="AO41" s="71"/>
    </row>
    <row r="42" spans="1:41" s="72" customFormat="1" ht="21" customHeight="1" x14ac:dyDescent="0.25">
      <c r="A42" s="52">
        <v>5</v>
      </c>
      <c r="B42" s="89" t="s">
        <v>347</v>
      </c>
      <c r="C42" s="83" t="s">
        <v>348</v>
      </c>
      <c r="D42" s="55">
        <f t="shared" si="4"/>
        <v>1179.225024875622</v>
      </c>
      <c r="E42" s="55"/>
      <c r="F42" s="55">
        <v>163.75</v>
      </c>
      <c r="G42" s="55">
        <v>425.95</v>
      </c>
      <c r="H42" s="55">
        <v>12.5</v>
      </c>
      <c r="I42" s="56">
        <v>650</v>
      </c>
      <c r="J42" s="56">
        <f t="shared" si="15"/>
        <v>7800</v>
      </c>
      <c r="K42" s="56">
        <f t="shared" si="5"/>
        <v>780</v>
      </c>
      <c r="L42" s="56">
        <f t="shared" si="6"/>
        <v>650</v>
      </c>
      <c r="M42" s="56">
        <v>232</v>
      </c>
      <c r="N42" s="56">
        <v>150</v>
      </c>
      <c r="O42" s="56">
        <v>250</v>
      </c>
      <c r="P42" s="56"/>
      <c r="Q42" s="56">
        <f t="shared" si="26"/>
        <v>2062</v>
      </c>
      <c r="R42" s="56">
        <f t="shared" si="27"/>
        <v>9862</v>
      </c>
      <c r="S42" s="56">
        <f t="shared" si="7"/>
        <v>39448000</v>
      </c>
      <c r="T42" s="56"/>
      <c r="U42" s="56">
        <f t="shared" si="8"/>
        <v>1252.2</v>
      </c>
      <c r="V42" s="58">
        <f t="shared" si="9"/>
        <v>4983594</v>
      </c>
      <c r="W42" s="59">
        <v>2</v>
      </c>
      <c r="X42" s="59">
        <v>1</v>
      </c>
      <c r="Y42" s="59">
        <f t="shared" si="28"/>
        <v>3</v>
      </c>
      <c r="Z42" s="60">
        <f t="shared" si="18"/>
        <v>450000</v>
      </c>
      <c r="AA42" s="61">
        <f t="shared" si="29"/>
        <v>4533594</v>
      </c>
      <c r="AB42" s="62" t="str">
        <f t="shared" si="19"/>
        <v>10%</v>
      </c>
      <c r="AC42" s="58"/>
      <c r="AD42" s="58"/>
      <c r="AE42" s="63">
        <f t="shared" si="30"/>
        <v>293359.40000000002</v>
      </c>
      <c r="AF42" s="64">
        <f t="shared" si="31"/>
        <v>72.974975124378119</v>
      </c>
      <c r="AG42" s="65"/>
      <c r="AH42" s="66"/>
      <c r="AI42" s="67"/>
      <c r="AJ42" s="81"/>
      <c r="AK42" s="86"/>
      <c r="AM42" s="71">
        <v>9.58</v>
      </c>
      <c r="AN42" s="71">
        <f t="shared" si="3"/>
        <v>1242.6200000000001</v>
      </c>
      <c r="AO42" s="71"/>
    </row>
    <row r="43" spans="1:41" s="72" customFormat="1" ht="24" customHeight="1" x14ac:dyDescent="0.25">
      <c r="A43" s="52">
        <v>6</v>
      </c>
      <c r="B43" s="54" t="s">
        <v>349</v>
      </c>
      <c r="C43" s="54" t="s">
        <v>350</v>
      </c>
      <c r="D43" s="55">
        <f>SUM(F43+G43+H43+I43+AC43+E43-AD43-AF43)+0.01</f>
        <v>1195.123868159204</v>
      </c>
      <c r="E43" s="55"/>
      <c r="F43" s="55">
        <v>186.45833333333331</v>
      </c>
      <c r="G43" s="55">
        <v>638.75</v>
      </c>
      <c r="H43" s="55">
        <v>12.5</v>
      </c>
      <c r="I43" s="56">
        <f>856/2</f>
        <v>428</v>
      </c>
      <c r="J43" s="56">
        <f t="shared" si="15"/>
        <v>5136</v>
      </c>
      <c r="K43" s="56">
        <f t="shared" si="5"/>
        <v>513.6</v>
      </c>
      <c r="L43" s="56">
        <f t="shared" si="6"/>
        <v>428</v>
      </c>
      <c r="M43" s="56">
        <v>232</v>
      </c>
      <c r="N43" s="56">
        <v>150</v>
      </c>
      <c r="O43" s="56">
        <v>250</v>
      </c>
      <c r="P43" s="56"/>
      <c r="Q43" s="56">
        <f t="shared" si="26"/>
        <v>1573.6</v>
      </c>
      <c r="R43" s="56">
        <f t="shared" si="27"/>
        <v>6709.6</v>
      </c>
      <c r="S43" s="56">
        <f t="shared" si="7"/>
        <v>26838400</v>
      </c>
      <c r="T43" s="56"/>
      <c r="U43" s="56">
        <f t="shared" si="8"/>
        <v>1265.7083333333333</v>
      </c>
      <c r="V43" s="58">
        <f t="shared" si="9"/>
        <v>5037897.5</v>
      </c>
      <c r="W43" s="59">
        <v>3</v>
      </c>
      <c r="X43" s="59">
        <v>1</v>
      </c>
      <c r="Y43" s="59">
        <f t="shared" si="28"/>
        <v>4</v>
      </c>
      <c r="Z43" s="60">
        <f t="shared" si="18"/>
        <v>600000</v>
      </c>
      <c r="AA43" s="61">
        <f t="shared" si="29"/>
        <v>4437897.5</v>
      </c>
      <c r="AB43" s="62" t="str">
        <f t="shared" si="19"/>
        <v>10%</v>
      </c>
      <c r="AC43" s="58"/>
      <c r="AD43" s="58"/>
      <c r="AE43" s="63">
        <f t="shared" si="30"/>
        <v>283789.75</v>
      </c>
      <c r="AF43" s="64">
        <f t="shared" si="31"/>
        <v>70.594465174129354</v>
      </c>
      <c r="AG43" s="65"/>
      <c r="AH43" s="66"/>
      <c r="AI43" s="67"/>
      <c r="AJ43" s="81"/>
      <c r="AK43" s="86"/>
      <c r="AM43" s="71">
        <v>35.06</v>
      </c>
      <c r="AN43" s="71">
        <f t="shared" si="3"/>
        <v>1230.6483333333333</v>
      </c>
      <c r="AO43" s="71"/>
    </row>
    <row r="44" spans="1:41" s="72" customFormat="1" ht="22.5" customHeight="1" x14ac:dyDescent="0.25">
      <c r="A44" s="52">
        <v>7</v>
      </c>
      <c r="B44" s="54" t="s">
        <v>351</v>
      </c>
      <c r="C44" s="54" t="s">
        <v>352</v>
      </c>
      <c r="D44" s="55">
        <f t="shared" si="4"/>
        <v>1007.3269950248755</v>
      </c>
      <c r="E44" s="55"/>
      <c r="F44" s="55">
        <v>35</v>
      </c>
      <c r="G44" s="55">
        <v>126.14</v>
      </c>
      <c r="H44" s="55">
        <v>12.5</v>
      </c>
      <c r="I44" s="56">
        <v>900</v>
      </c>
      <c r="J44" s="56">
        <f t="shared" si="15"/>
        <v>10800</v>
      </c>
      <c r="K44" s="56">
        <f t="shared" si="5"/>
        <v>1080</v>
      </c>
      <c r="L44" s="56">
        <f t="shared" si="6"/>
        <v>900</v>
      </c>
      <c r="M44" s="56">
        <v>232</v>
      </c>
      <c r="N44" s="56">
        <v>150</v>
      </c>
      <c r="O44" s="56">
        <v>250</v>
      </c>
      <c r="P44" s="56"/>
      <c r="Q44" s="56">
        <f t="shared" si="26"/>
        <v>2612</v>
      </c>
      <c r="R44" s="56">
        <f t="shared" si="27"/>
        <v>13412</v>
      </c>
      <c r="S44" s="56">
        <f t="shared" si="7"/>
        <v>53648000</v>
      </c>
      <c r="T44" s="56"/>
      <c r="U44" s="56">
        <f t="shared" si="8"/>
        <v>1073.6399999999999</v>
      </c>
      <c r="V44" s="58">
        <f t="shared" si="9"/>
        <v>4265782.8000000007</v>
      </c>
      <c r="W44" s="59">
        <v>0</v>
      </c>
      <c r="X44" s="59">
        <v>0</v>
      </c>
      <c r="Y44" s="59">
        <f t="shared" si="28"/>
        <v>0</v>
      </c>
      <c r="Z44" s="60">
        <f t="shared" si="18"/>
        <v>0</v>
      </c>
      <c r="AA44" s="61">
        <f t="shared" si="29"/>
        <v>4265782.8000000007</v>
      </c>
      <c r="AB44" s="62" t="str">
        <f t="shared" si="19"/>
        <v>10%</v>
      </c>
      <c r="AC44" s="58"/>
      <c r="AD44" s="58"/>
      <c r="AE44" s="63">
        <f t="shared" si="30"/>
        <v>266578.28000000009</v>
      </c>
      <c r="AF44" s="64">
        <f t="shared" si="31"/>
        <v>66.3130049751244</v>
      </c>
      <c r="AG44" s="65"/>
      <c r="AH44" s="66"/>
      <c r="AI44" s="67"/>
      <c r="AJ44" s="81"/>
      <c r="AK44" s="82"/>
      <c r="AM44" s="71"/>
      <c r="AN44" s="71"/>
      <c r="AO44" s="71"/>
    </row>
    <row r="45" spans="1:41" s="72" customFormat="1" ht="25.5" customHeight="1" x14ac:dyDescent="0.25">
      <c r="A45" s="52">
        <v>8</v>
      </c>
      <c r="B45" s="54" t="s">
        <v>353</v>
      </c>
      <c r="C45" s="54" t="s">
        <v>354</v>
      </c>
      <c r="D45" s="55">
        <f t="shared" si="4"/>
        <v>810.25849502487551</v>
      </c>
      <c r="E45" s="55"/>
      <c r="F45" s="55">
        <v>220.62499999999997</v>
      </c>
      <c r="G45" s="55">
        <v>239.77</v>
      </c>
      <c r="H45" s="55">
        <v>12.5</v>
      </c>
      <c r="I45" s="56">
        <f>300+81.78</f>
        <v>381.78</v>
      </c>
      <c r="J45" s="56">
        <f t="shared" si="15"/>
        <v>4581.3599999999997</v>
      </c>
      <c r="K45" s="56">
        <f t="shared" si="5"/>
        <v>458.13599999999997</v>
      </c>
      <c r="L45" s="56">
        <f t="shared" si="6"/>
        <v>381.78</v>
      </c>
      <c r="M45" s="56">
        <v>232</v>
      </c>
      <c r="N45" s="56">
        <v>150</v>
      </c>
      <c r="O45" s="56">
        <v>250</v>
      </c>
      <c r="P45" s="56"/>
      <c r="Q45" s="56">
        <f t="shared" si="26"/>
        <v>1471.9159999999999</v>
      </c>
      <c r="R45" s="56">
        <f t="shared" si="27"/>
        <v>6053.2759999999998</v>
      </c>
      <c r="S45" s="56">
        <f t="shared" si="7"/>
        <v>24213104</v>
      </c>
      <c r="T45" s="56"/>
      <c r="U45" s="56">
        <f t="shared" si="8"/>
        <v>854.67499999999995</v>
      </c>
      <c r="V45" s="58">
        <f t="shared" si="9"/>
        <v>3385543.5</v>
      </c>
      <c r="W45" s="59">
        <v>0</v>
      </c>
      <c r="X45" s="59">
        <v>0</v>
      </c>
      <c r="Y45" s="59">
        <f t="shared" si="28"/>
        <v>0</v>
      </c>
      <c r="Z45" s="60">
        <f>(W45+X45)*150000</f>
        <v>0</v>
      </c>
      <c r="AA45" s="61">
        <f t="shared" si="29"/>
        <v>3385543.5</v>
      </c>
      <c r="AB45" s="62" t="str">
        <f>IF(AA45&lt;=1200000,"0%",IF(AA45&lt;=2000000,"5%",IF(AA45&lt;=8500000,"10%",IF(AA45&lt;=12500000,"15%",IF(AA45&gt;12500000,"20%")))))</f>
        <v>10%</v>
      </c>
      <c r="AC45" s="58"/>
      <c r="AD45" s="58"/>
      <c r="AE45" s="63">
        <f t="shared" si="30"/>
        <v>178554.35000000003</v>
      </c>
      <c r="AF45" s="64">
        <f t="shared" si="31"/>
        <v>44.41650497512439</v>
      </c>
      <c r="AG45" s="65"/>
      <c r="AH45" s="66"/>
      <c r="AI45" s="67"/>
      <c r="AJ45" s="81"/>
      <c r="AK45" s="82"/>
      <c r="AM45" s="71">
        <v>0.21</v>
      </c>
      <c r="AN45" s="71">
        <f t="shared" si="3"/>
        <v>854.46499999999992</v>
      </c>
      <c r="AO45" s="71"/>
    </row>
    <row r="46" spans="1:41" s="72" customFormat="1" ht="37.5" customHeight="1" x14ac:dyDescent="0.2">
      <c r="A46" s="52"/>
      <c r="B46" s="75" t="s">
        <v>317</v>
      </c>
      <c r="C46" s="75"/>
      <c r="D46" s="76">
        <f>ROUND(SUM(D38:D45),2)+0.02</f>
        <v>21479.34</v>
      </c>
      <c r="E46" s="76">
        <f>ROUND(SUM(E38:E45),2)</f>
        <v>9432.6200000000008</v>
      </c>
      <c r="F46" s="76">
        <f>ROUND(SUM(F38:F45),2)</f>
        <v>1509.17</v>
      </c>
      <c r="G46" s="76">
        <f>ROUND(SUM(G38:G45),2)</f>
        <v>4620.0200000000004</v>
      </c>
      <c r="H46" s="76">
        <f>SUM(H38:H45)</f>
        <v>100</v>
      </c>
      <c r="I46" s="76">
        <f>SUM(I38:I45)</f>
        <v>6757.78</v>
      </c>
      <c r="J46" s="76">
        <f>SUM(J38:J45)</f>
        <v>81093.36</v>
      </c>
      <c r="K46" s="76">
        <f t="shared" ref="K46:S46" si="32">SUM(K38:K45)</f>
        <v>8109.3360000000011</v>
      </c>
      <c r="L46" s="76">
        <f t="shared" si="32"/>
        <v>6757.78</v>
      </c>
      <c r="M46" s="76">
        <f t="shared" si="32"/>
        <v>1856</v>
      </c>
      <c r="N46" s="76">
        <f t="shared" si="32"/>
        <v>1200</v>
      </c>
      <c r="O46" s="76">
        <f t="shared" si="32"/>
        <v>2000</v>
      </c>
      <c r="P46" s="76">
        <f t="shared" si="32"/>
        <v>9432.619999999999</v>
      </c>
      <c r="Q46" s="76">
        <f t="shared" si="32"/>
        <v>19923.116000000002</v>
      </c>
      <c r="R46" s="76">
        <f t="shared" si="32"/>
        <v>101016.47600000001</v>
      </c>
      <c r="S46" s="76">
        <f t="shared" si="32"/>
        <v>404065904</v>
      </c>
      <c r="T46" s="56"/>
      <c r="U46" s="76">
        <f>SUM(U38:U45)</f>
        <v>12986.966666666667</v>
      </c>
      <c r="V46" s="77">
        <f>ROUND(SUM(V38:V45),2)</f>
        <v>51805606</v>
      </c>
      <c r="W46" s="77">
        <f t="shared" ref="W46:AD46" si="33">SUM(W38:W45)</f>
        <v>11</v>
      </c>
      <c r="X46" s="77">
        <f t="shared" si="33"/>
        <v>5</v>
      </c>
      <c r="Y46" s="77">
        <f t="shared" si="33"/>
        <v>16</v>
      </c>
      <c r="Z46" s="77">
        <f t="shared" si="33"/>
        <v>2400000</v>
      </c>
      <c r="AA46" s="77">
        <f t="shared" si="33"/>
        <v>49405606</v>
      </c>
      <c r="AB46" s="77">
        <f t="shared" si="33"/>
        <v>0</v>
      </c>
      <c r="AC46" s="77">
        <f t="shared" si="33"/>
        <v>0</v>
      </c>
      <c r="AD46" s="77">
        <f t="shared" si="33"/>
        <v>0</v>
      </c>
      <c r="AE46" s="77">
        <f>SUM(AE38:AE45)+2</f>
        <v>3779909.1000000006</v>
      </c>
      <c r="AF46" s="76">
        <f>SUM(AF38:AF45)-0.03</f>
        <v>940.24539800995046</v>
      </c>
      <c r="AG46" s="77"/>
      <c r="AH46" s="77"/>
      <c r="AI46" s="76"/>
      <c r="AJ46" s="87" t="e">
        <f>SUM(#REF!)</f>
        <v>#REF!</v>
      </c>
      <c r="AK46" s="90" t="e">
        <f>SUM(#REF!)</f>
        <v>#REF!</v>
      </c>
      <c r="AM46" s="71">
        <f>SUM(AM38:AM45)</f>
        <v>253.03000000000003</v>
      </c>
      <c r="AN46" s="71">
        <f t="shared" si="3"/>
        <v>12733.936666666666</v>
      </c>
      <c r="AO46" s="71">
        <f>SUM(AN38:AN45)</f>
        <v>10203.553333333333</v>
      </c>
    </row>
    <row r="47" spans="1:41" s="72" customFormat="1" ht="42" customHeight="1" x14ac:dyDescent="0.2">
      <c r="A47" s="91"/>
      <c r="B47" s="92" t="s">
        <v>355</v>
      </c>
      <c r="C47" s="93"/>
      <c r="D47" s="94">
        <f>D21+D27+D32+D35+D37+D46</f>
        <v>116885.75999999999</v>
      </c>
      <c r="E47" s="94">
        <f>E21+E27+E32+E35+E37+E46</f>
        <v>64016.57</v>
      </c>
      <c r="F47" s="94">
        <f t="shared" ref="F47:AE47" si="34">F21+F27+F32+F35+F37+F46</f>
        <v>6871.88</v>
      </c>
      <c r="G47" s="94">
        <f t="shared" si="34"/>
        <v>20813.080000000002</v>
      </c>
      <c r="H47" s="94">
        <f t="shared" si="34"/>
        <v>400</v>
      </c>
      <c r="I47" s="94">
        <f t="shared" si="34"/>
        <v>29618.78</v>
      </c>
      <c r="J47" s="94">
        <f t="shared" si="34"/>
        <v>355425.36</v>
      </c>
      <c r="K47" s="94">
        <f t="shared" si="34"/>
        <v>35542.536000000007</v>
      </c>
      <c r="L47" s="94">
        <f t="shared" si="34"/>
        <v>29618.78</v>
      </c>
      <c r="M47" s="94">
        <f t="shared" si="34"/>
        <v>7424</v>
      </c>
      <c r="N47" s="94">
        <f t="shared" si="34"/>
        <v>4800</v>
      </c>
      <c r="O47" s="94">
        <f t="shared" si="34"/>
        <v>8000</v>
      </c>
      <c r="P47" s="94">
        <f t="shared" si="34"/>
        <v>64016.569999999992</v>
      </c>
      <c r="Q47" s="94">
        <f t="shared" si="34"/>
        <v>85385.315999999992</v>
      </c>
      <c r="R47" s="94">
        <f t="shared" si="34"/>
        <v>440810.67600000004</v>
      </c>
      <c r="S47" s="94">
        <f t="shared" si="34"/>
        <v>1763242704</v>
      </c>
      <c r="T47" s="56"/>
      <c r="U47" s="94">
        <f t="shared" si="34"/>
        <v>57703.735000000001</v>
      </c>
      <c r="V47" s="94">
        <f t="shared" si="34"/>
        <v>230361008</v>
      </c>
      <c r="W47" s="95">
        <f t="shared" si="34"/>
        <v>40</v>
      </c>
      <c r="X47" s="95">
        <f t="shared" si="34"/>
        <v>24</v>
      </c>
      <c r="Y47" s="95">
        <f t="shared" si="34"/>
        <v>64</v>
      </c>
      <c r="Z47" s="95">
        <f t="shared" si="34"/>
        <v>9600000</v>
      </c>
      <c r="AA47" s="95">
        <f t="shared" si="34"/>
        <v>220761008</v>
      </c>
      <c r="AB47" s="94">
        <f t="shared" si="34"/>
        <v>0</v>
      </c>
      <c r="AC47" s="94">
        <f t="shared" si="34"/>
        <v>0</v>
      </c>
      <c r="AD47" s="95">
        <f t="shared" si="34"/>
        <v>100</v>
      </c>
      <c r="AE47" s="95">
        <f t="shared" si="34"/>
        <v>19033125.550000001</v>
      </c>
      <c r="AF47" s="94">
        <f>AF21+AF27+AF32+AF35+AF37+AF46</f>
        <v>4734.549191542289</v>
      </c>
      <c r="AG47" s="94" t="e">
        <f>(AG21+#REF!+AG32+AG46+AG27+AG35)-0.01</f>
        <v>#REF!</v>
      </c>
      <c r="AH47" s="94" t="e">
        <f>(AH21+#REF!+AH32+AH46+AH27+AH35)-0.01</f>
        <v>#REF!</v>
      </c>
      <c r="AI47" s="94" t="e">
        <f>(AI21+#REF!+AI32+AI46+AI27+AI35)-0.01</f>
        <v>#REF!</v>
      </c>
      <c r="AJ47" s="94" t="e">
        <f>(AJ21+#REF!+AJ32+AJ46+AJ27+AJ35)-0.01</f>
        <v>#REF!</v>
      </c>
      <c r="AK47" s="94" t="e">
        <f>(AK21+#REF!+AK32+AK46+AK27+AK35)-0.01</f>
        <v>#VALUE!</v>
      </c>
      <c r="AL47" s="94" t="e">
        <f>(AL21+#REF!+AL32+AL46+AL27+AL35)-0.01</f>
        <v>#REF!</v>
      </c>
      <c r="AM47" s="71">
        <f>AM46+AM35+AM32+AM27+AM21</f>
        <v>1401.9496805896806</v>
      </c>
      <c r="AN47" s="71">
        <f t="shared" si="3"/>
        <v>56301.785319410323</v>
      </c>
      <c r="AO47" s="71">
        <f>SUM(AO9:AO46)</f>
        <v>48821.241986076988</v>
      </c>
    </row>
    <row r="48" spans="1:41" s="72" customFormat="1" ht="13.5" customHeight="1" x14ac:dyDescent="0.2">
      <c r="A48" s="96"/>
      <c r="B48" s="96"/>
      <c r="D48" s="70"/>
      <c r="E48" s="70"/>
      <c r="F48" s="70"/>
      <c r="G48" s="70"/>
      <c r="H48" s="70"/>
      <c r="I48" s="70"/>
      <c r="J48" s="70"/>
      <c r="K48" s="70"/>
      <c r="L48" s="70"/>
      <c r="M48" s="70"/>
      <c r="N48" s="70"/>
      <c r="O48" s="70"/>
      <c r="P48" s="70"/>
      <c r="Q48" s="70"/>
      <c r="R48" s="70"/>
      <c r="S48" s="70"/>
      <c r="T48" s="70"/>
      <c r="U48" s="70"/>
      <c r="V48" s="97"/>
      <c r="W48" s="96"/>
      <c r="Y48" s="96"/>
      <c r="Z48" s="96"/>
      <c r="AA48" s="96"/>
      <c r="AD48" s="70"/>
      <c r="AH48" s="97"/>
      <c r="AI48" s="70"/>
      <c r="AJ48" s="68"/>
      <c r="AK48" s="68"/>
      <c r="AM48" s="71"/>
      <c r="AN48" s="71"/>
      <c r="AO48" s="71"/>
    </row>
    <row r="49" spans="1:42" s="72" customFormat="1" ht="13.5" customHeight="1" x14ac:dyDescent="0.2">
      <c r="A49" s="96" t="s">
        <v>356</v>
      </c>
      <c r="D49" s="70"/>
      <c r="E49" s="70"/>
      <c r="F49" s="70"/>
      <c r="G49" s="70"/>
      <c r="H49" s="70"/>
      <c r="I49" s="70"/>
      <c r="J49" s="70"/>
      <c r="K49" s="70"/>
      <c r="L49" s="70"/>
      <c r="M49" s="70"/>
      <c r="N49" s="70"/>
      <c r="O49" s="70"/>
      <c r="P49" s="70"/>
      <c r="Q49" s="70"/>
      <c r="R49" s="70"/>
      <c r="S49" s="70"/>
      <c r="T49" s="70"/>
      <c r="U49" s="70"/>
      <c r="V49" s="70"/>
      <c r="W49" s="96"/>
      <c r="Y49" s="96"/>
      <c r="Z49" s="98"/>
      <c r="AA49" s="96"/>
      <c r="AD49" s="70"/>
      <c r="AM49" s="99"/>
      <c r="AN49" s="99"/>
      <c r="AO49" s="99"/>
    </row>
    <row r="50" spans="1:42" s="72" customFormat="1" ht="13.5" customHeight="1" x14ac:dyDescent="0.2">
      <c r="A50" s="96" t="s">
        <v>357</v>
      </c>
      <c r="D50" s="70"/>
      <c r="E50" s="70"/>
      <c r="F50" s="70"/>
      <c r="G50" s="70"/>
      <c r="H50" s="70"/>
      <c r="I50" s="70"/>
      <c r="J50" s="70"/>
      <c r="K50" s="70"/>
      <c r="L50" s="70"/>
      <c r="M50" s="70"/>
      <c r="N50" s="70"/>
      <c r="O50" s="70"/>
      <c r="P50" s="70"/>
      <c r="Q50" s="70"/>
      <c r="R50" s="70"/>
      <c r="S50" s="70"/>
      <c r="T50" s="70"/>
      <c r="U50" s="70"/>
      <c r="V50" s="70"/>
      <c r="W50" s="96"/>
      <c r="Y50" s="96"/>
      <c r="Z50" s="98"/>
      <c r="AA50" s="96"/>
      <c r="AD50" s="70"/>
      <c r="AM50" s="99"/>
      <c r="AN50" s="99"/>
      <c r="AO50" s="99"/>
    </row>
    <row r="51" spans="1:42" s="72" customFormat="1" ht="12.75" customHeight="1" x14ac:dyDescent="0.2">
      <c r="A51" s="100" t="s">
        <v>358</v>
      </c>
      <c r="W51" s="101"/>
      <c r="X51" s="101"/>
      <c r="Y51" s="101"/>
      <c r="AB51" s="70"/>
      <c r="AM51" s="99"/>
      <c r="AN51" s="99"/>
      <c r="AO51" s="99"/>
    </row>
    <row r="52" spans="1:42" s="72" customFormat="1" ht="39.75" customHeight="1" x14ac:dyDescent="0.2">
      <c r="A52" s="100"/>
      <c r="W52" s="101"/>
      <c r="X52" s="101"/>
      <c r="Y52" s="101"/>
      <c r="AB52" s="70"/>
      <c r="AM52" s="99"/>
      <c r="AN52" s="99"/>
      <c r="AO52" s="99"/>
    </row>
    <row r="53" spans="1:42" s="96" customFormat="1" ht="13.5" customHeight="1" x14ac:dyDescent="0.2">
      <c r="B53" s="96" t="s">
        <v>359</v>
      </c>
      <c r="C53" s="102" t="s">
        <v>360</v>
      </c>
      <c r="D53" s="96" t="s">
        <v>361</v>
      </c>
      <c r="G53" s="102" t="s">
        <v>360</v>
      </c>
      <c r="H53" s="102"/>
      <c r="U53" s="102"/>
      <c r="V53" s="102" t="s">
        <v>362</v>
      </c>
      <c r="W53" s="96" t="s">
        <v>360</v>
      </c>
      <c r="AA53" s="102"/>
      <c r="AB53" s="98"/>
      <c r="AD53" s="96" t="s">
        <v>363</v>
      </c>
      <c r="AE53" s="96" t="s">
        <v>364</v>
      </c>
      <c r="AM53" s="103"/>
      <c r="AO53" s="104"/>
    </row>
    <row r="54" spans="1:42" s="96" customFormat="1" ht="12.75" x14ac:dyDescent="0.2">
      <c r="B54" s="96" t="s">
        <v>365</v>
      </c>
      <c r="C54" s="96" t="s">
        <v>366</v>
      </c>
      <c r="D54" s="96" t="s">
        <v>365</v>
      </c>
      <c r="G54" s="96" t="s">
        <v>367</v>
      </c>
      <c r="V54" s="96" t="s">
        <v>368</v>
      </c>
      <c r="W54" s="96" t="s">
        <v>369</v>
      </c>
      <c r="AD54" s="96" t="s">
        <v>274</v>
      </c>
      <c r="AE54" s="96" t="s">
        <v>370</v>
      </c>
      <c r="AM54" s="103"/>
      <c r="AO54" s="104"/>
    </row>
    <row r="55" spans="1:42" s="106" customFormat="1" ht="12.75" x14ac:dyDescent="0.2">
      <c r="A55" s="96"/>
      <c r="B55" s="96" t="s">
        <v>371</v>
      </c>
      <c r="C55" s="105" t="s">
        <v>372</v>
      </c>
      <c r="D55" s="96" t="s">
        <v>371</v>
      </c>
      <c r="E55" s="96"/>
      <c r="F55" s="96"/>
      <c r="G55" s="105" t="s">
        <v>373</v>
      </c>
      <c r="H55" s="105"/>
      <c r="I55" s="96"/>
      <c r="J55" s="96"/>
      <c r="K55" s="96"/>
      <c r="L55" s="96"/>
      <c r="M55" s="96"/>
      <c r="N55" s="96"/>
      <c r="O55" s="96"/>
      <c r="P55" s="96"/>
      <c r="Q55" s="96"/>
      <c r="R55" s="96"/>
      <c r="S55" s="96"/>
      <c r="T55" s="96"/>
      <c r="U55" s="105"/>
      <c r="V55" s="105" t="s">
        <v>374</v>
      </c>
      <c r="W55" s="96" t="s">
        <v>375</v>
      </c>
      <c r="X55" s="96"/>
      <c r="Y55" s="96"/>
      <c r="Z55" s="96"/>
      <c r="AA55" s="105"/>
      <c r="AB55" s="96"/>
      <c r="AC55" s="96"/>
      <c r="AD55" s="96" t="s">
        <v>376</v>
      </c>
      <c r="AE55" s="96" t="s">
        <v>377</v>
      </c>
      <c r="AF55" s="96"/>
      <c r="AG55" s="105"/>
      <c r="AH55" s="96"/>
      <c r="AI55" s="96"/>
      <c r="AJ55" s="96"/>
      <c r="AK55" s="96"/>
      <c r="AL55" s="96"/>
      <c r="AM55" s="103"/>
      <c r="AN55" s="96"/>
      <c r="AO55" s="104"/>
      <c r="AP55" s="96"/>
    </row>
    <row r="56" spans="1:42" s="106" customFormat="1" ht="12.75" x14ac:dyDescent="0.2">
      <c r="U56" s="96"/>
      <c r="V56" s="96"/>
      <c r="W56" s="96"/>
      <c r="X56" s="96"/>
      <c r="Y56" s="96"/>
      <c r="Z56" s="96"/>
      <c r="AA56" s="96"/>
      <c r="AB56" s="96"/>
      <c r="AC56" s="96"/>
      <c r="AD56" s="96"/>
      <c r="AE56" s="96"/>
      <c r="AF56" s="96"/>
      <c r="AG56" s="96"/>
      <c r="AH56" s="96"/>
      <c r="AI56" s="96"/>
      <c r="AJ56" s="96"/>
      <c r="AK56" s="96"/>
      <c r="AL56" s="96"/>
      <c r="AM56" s="103"/>
      <c r="AN56" s="96"/>
      <c r="AO56" s="104"/>
    </row>
    <row r="57" spans="1:42" ht="15" x14ac:dyDescent="0.25">
      <c r="U57"/>
      <c r="V57"/>
      <c r="W57"/>
      <c r="X57"/>
      <c r="Y57"/>
      <c r="Z57" s="96"/>
      <c r="AA57" s="96"/>
      <c r="AB57" s="72"/>
      <c r="AC57"/>
      <c r="AD57"/>
      <c r="AE57"/>
      <c r="AF57"/>
      <c r="AG57"/>
      <c r="AH57"/>
      <c r="AI57"/>
      <c r="AJ57"/>
      <c r="AK57"/>
      <c r="AL57"/>
      <c r="AM57"/>
      <c r="AN57"/>
      <c r="AO57"/>
    </row>
    <row r="58" spans="1:42" ht="14.25" x14ac:dyDescent="0.25">
      <c r="AF58" s="107"/>
    </row>
  </sheetData>
  <mergeCells count="9">
    <mergeCell ref="AK5:AK8"/>
    <mergeCell ref="A7:A8"/>
    <mergeCell ref="W7:Y7"/>
    <mergeCell ref="AC7:AD7"/>
    <mergeCell ref="AH7:AI7"/>
    <mergeCell ref="B2:C2"/>
    <mergeCell ref="W5:Y5"/>
    <mergeCell ref="AC5:AD5"/>
    <mergeCell ref="AH5:AI5"/>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2</vt:i4>
      </vt:variant>
    </vt:vector>
  </HeadingPairs>
  <TitlesOfParts>
    <vt:vector size="10" baseType="lpstr">
      <vt:lpstr>Trial Balance</vt:lpstr>
      <vt:lpstr>MRO P&amp;L 2022</vt:lpstr>
      <vt:lpstr>Profit and Loss 2023</vt:lpstr>
      <vt:lpstr>P&amp;L</vt:lpstr>
      <vt:lpstr>BS</vt:lpstr>
      <vt:lpstr> TB</vt:lpstr>
      <vt:lpstr>Chart of Account (Tax Dpt)</vt:lpstr>
      <vt:lpstr>Sheet1</vt:lpstr>
      <vt:lpstr>'Chart of Account (Tax Dpt)'!Print_Area</vt:lpstr>
      <vt:lpstr>'MRO P&amp;L 2022'!Print_Titles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Sivila Khim</dc:creator>
  <cp:lastModifiedBy>Rasmey Keo</cp:lastModifiedBy>
  <cp:lastPrinted>2025-02-12T05:21:30Z</cp:lastPrinted>
  <dcterms:created xsi:type="dcterms:W3CDTF">2019-02-23T11:00:58Z</dcterms:created>
  <dcterms:modified xsi:type="dcterms:W3CDTF">2025-11-20T04:58:32Z</dcterms:modified>
</cp:coreProperties>
</file>